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180" yWindow="240" windowWidth="25820" windowHeight="17280" tabRatio="500"/>
  </bookViews>
  <sheets>
    <sheet name="CN calculation" sheetId="1" r:id="rId1"/>
    <sheet name="Biogas calculatio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E44" i="2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E40" i="2"/>
  <c r="B40" i="2"/>
  <c r="B41" i="2"/>
  <c r="B18" i="2"/>
  <c r="B19" i="2"/>
  <c r="C6" i="2"/>
  <c r="E6" i="2"/>
  <c r="C10" i="2"/>
  <c r="E10" i="2"/>
  <c r="C11" i="2"/>
  <c r="E11" i="2"/>
  <c r="C12" i="2"/>
  <c r="E12" i="2"/>
  <c r="C13" i="2"/>
  <c r="E13" i="2"/>
  <c r="C5" i="2"/>
  <c r="E5" i="2"/>
  <c r="C7" i="2"/>
  <c r="E7" i="2"/>
  <c r="C8" i="2"/>
  <c r="E8" i="2"/>
  <c r="C9" i="2"/>
  <c r="E9" i="2"/>
  <c r="E18" i="2"/>
  <c r="G7" i="1"/>
  <c r="G6" i="1"/>
  <c r="D6" i="1"/>
  <c r="C6" i="1"/>
  <c r="I6" i="1"/>
  <c r="I7" i="1"/>
  <c r="H7" i="1"/>
  <c r="J7" i="1"/>
  <c r="H6" i="1"/>
  <c r="J6" i="1"/>
  <c r="G8" i="1"/>
  <c r="H8" i="1"/>
  <c r="H10" i="1"/>
  <c r="I8" i="1"/>
  <c r="I10" i="1"/>
  <c r="J10" i="1"/>
  <c r="D7" i="1"/>
  <c r="C7" i="1"/>
  <c r="G10" i="1"/>
</calcChain>
</file>

<file path=xl/sharedStrings.xml><?xml version="1.0" encoding="utf-8"?>
<sst xmlns="http://schemas.openxmlformats.org/spreadsheetml/2006/main" count="69" uniqueCount="40">
  <si>
    <t>20:1</t>
  </si>
  <si>
    <t>100:1</t>
  </si>
  <si>
    <t>gallons</t>
  </si>
  <si>
    <t>% DM</t>
  </si>
  <si>
    <t>C</t>
  </si>
  <si>
    <t>N</t>
  </si>
  <si>
    <t xml:space="preserve"> </t>
  </si>
  <si>
    <t>manure</t>
  </si>
  <si>
    <t>GTW</t>
  </si>
  <si>
    <t>12:1</t>
  </si>
  <si>
    <t>glycerol</t>
  </si>
  <si>
    <t>C:N</t>
  </si>
  <si>
    <t>% C</t>
  </si>
  <si>
    <t>% N</t>
  </si>
  <si>
    <t>DM</t>
  </si>
  <si>
    <t>diet</t>
  </si>
  <si>
    <t>Totals</t>
  </si>
  <si>
    <t>feedstock</t>
  </si>
  <si>
    <t>literature</t>
  </si>
  <si>
    <t>C/N</t>
  </si>
  <si>
    <t>value</t>
  </si>
  <si>
    <t>VTC manure</t>
  </si>
  <si>
    <t>Osha manure</t>
  </si>
  <si>
    <t>heifer manure</t>
  </si>
  <si>
    <t>silage/haylage</t>
  </si>
  <si>
    <t>grass</t>
  </si>
  <si>
    <t>effluent</t>
  </si>
  <si>
    <t>brewery</t>
  </si>
  <si>
    <t>FeCl3</t>
  </si>
  <si>
    <t>Na2CO3</t>
  </si>
  <si>
    <t>CaCO3</t>
  </si>
  <si>
    <t>metric tonnes</t>
  </si>
  <si>
    <t>m3 biogas</t>
  </si>
  <si>
    <t>Total</t>
  </si>
  <si>
    <t>% on-farm</t>
  </si>
  <si>
    <t>Actual biogas (m3/day)</t>
  </si>
  <si>
    <t>Actual biogas (m3/day) from power</t>
  </si>
  <si>
    <t>m3 biogas / fresh metric tonne</t>
  </si>
  <si>
    <t>Examples of calculation of biogas volume from reference values</t>
  </si>
  <si>
    <t>Example of calculation of C:N from reference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</si>
</sst>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2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0" fontId="6" fillId="0" borderId="0" xfId="0" applyFont="1"/>
    <xf numFmtId="15" fontId="2" fillId="2" borderId="1" xfId="0" applyNumberFormat="1" applyFont="1" applyFill="1" applyBorder="1"/>
    <xf numFmtId="166" fontId="2" fillId="2" borderId="2" xfId="1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wrapText="1"/>
    </xf>
    <xf numFmtId="166" fontId="2" fillId="0" borderId="0" xfId="11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4" xfId="0" applyBorder="1"/>
    <xf numFmtId="166" fontId="0" fillId="0" borderId="0" xfId="1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0" borderId="4" xfId="0" applyFont="1" applyBorder="1"/>
    <xf numFmtId="166" fontId="0" fillId="0" borderId="5" xfId="11" applyNumberFormat="1" applyFont="1" applyBorder="1" applyAlignment="1">
      <alignment horizontal="right"/>
    </xf>
    <xf numFmtId="0" fontId="5" fillId="0" borderId="4" xfId="0" applyFont="1" applyBorder="1"/>
    <xf numFmtId="0" fontId="6" fillId="0" borderId="6" xfId="0" applyFont="1" applyBorder="1"/>
    <xf numFmtId="166" fontId="0" fillId="0" borderId="7" xfId="11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6" fontId="0" fillId="2" borderId="2" xfId="1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165" fontId="0" fillId="0" borderId="5" xfId="1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5" xfId="0" applyFont="1" applyBorder="1" applyAlignment="1">
      <alignment horizontal="right"/>
    </xf>
    <xf numFmtId="166" fontId="6" fillId="0" borderId="8" xfId="11" applyNumberFormat="1" applyFont="1" applyBorder="1" applyAlignment="1">
      <alignment horizontal="right"/>
    </xf>
    <xf numFmtId="166" fontId="6" fillId="0" borderId="0" xfId="11" applyNumberFormat="1" applyFont="1" applyAlignment="1">
      <alignment horizontal="right"/>
    </xf>
    <xf numFmtId="0" fontId="0" fillId="2" borderId="3" xfId="0" applyFill="1" applyBorder="1" applyAlignment="1">
      <alignment horizontal="right"/>
    </xf>
    <xf numFmtId="166" fontId="5" fillId="0" borderId="5" xfId="11" applyNumberFormat="1" applyFont="1" applyBorder="1" applyAlignment="1">
      <alignment horizontal="right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32">
    <cellStyle name="Comma" xfId="1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22" sqref="G22"/>
    </sheetView>
  </sheetViews>
  <sheetFormatPr baseColWidth="10" defaultRowHeight="15" x14ac:dyDescent="0"/>
  <cols>
    <col min="2" max="2" width="10.83203125" style="10"/>
    <col min="3" max="4" width="7.5" style="5" customWidth="1"/>
    <col min="5" max="5" width="8.33203125" style="2" customWidth="1"/>
    <col min="6" max="7" width="10.83203125" style="2"/>
    <col min="8" max="9" width="9.33203125" style="2" customWidth="1"/>
    <col min="10" max="10" width="7.1640625" style="2" customWidth="1"/>
  </cols>
  <sheetData>
    <row r="1" spans="1:10" s="46" customFormat="1" ht="18">
      <c r="A1" s="46" t="s">
        <v>39</v>
      </c>
      <c r="B1" s="47"/>
      <c r="C1" s="48"/>
      <c r="D1" s="48"/>
      <c r="E1" s="49"/>
      <c r="F1" s="49"/>
      <c r="G1" s="49"/>
      <c r="H1" s="49"/>
      <c r="I1" s="49"/>
      <c r="J1" s="49"/>
    </row>
    <row r="3" spans="1:10">
      <c r="B3" s="11" t="s">
        <v>18</v>
      </c>
    </row>
    <row r="4" spans="1:10">
      <c r="B4" s="11" t="s">
        <v>20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15</v>
      </c>
    </row>
    <row r="5" spans="1:10" s="1" customFormat="1">
      <c r="A5" s="1" t="s">
        <v>17</v>
      </c>
      <c r="B5" s="11" t="s">
        <v>11</v>
      </c>
      <c r="C5" s="7" t="s">
        <v>12</v>
      </c>
      <c r="D5" s="7" t="s">
        <v>13</v>
      </c>
      <c r="E5" s="3" t="s">
        <v>3</v>
      </c>
      <c r="F5" s="3" t="s">
        <v>17</v>
      </c>
      <c r="G5" s="3" t="s">
        <v>14</v>
      </c>
      <c r="H5" s="3" t="s">
        <v>4</v>
      </c>
      <c r="I5" s="3" t="s">
        <v>5</v>
      </c>
      <c r="J5" s="3" t="s">
        <v>19</v>
      </c>
    </row>
    <row r="6" spans="1:10">
      <c r="A6" t="s">
        <v>7</v>
      </c>
      <c r="B6" s="10" t="s">
        <v>0</v>
      </c>
      <c r="C6" s="5">
        <f>(20/21)*100</f>
        <v>95.238095238095227</v>
      </c>
      <c r="D6" s="5">
        <f>(1/21)*100</f>
        <v>4.7619047619047619</v>
      </c>
      <c r="E6" s="4">
        <v>0.1</v>
      </c>
      <c r="F6" s="2">
        <v>3000</v>
      </c>
      <c r="G6" s="2">
        <f>F6*0.1</f>
        <v>300</v>
      </c>
      <c r="H6" s="8">
        <f>G6*(C6/100)</f>
        <v>285.71428571428567</v>
      </c>
      <c r="I6" s="8">
        <f>G6*(D6/100)</f>
        <v>14.285714285714285</v>
      </c>
      <c r="J6" s="2">
        <f>H6/I6</f>
        <v>19.999999999999996</v>
      </c>
    </row>
    <row r="7" spans="1:10">
      <c r="A7" t="s">
        <v>8</v>
      </c>
      <c r="B7" s="10" t="s">
        <v>9</v>
      </c>
      <c r="C7" s="5">
        <f>(12/13)*100</f>
        <v>92.307692307692307</v>
      </c>
      <c r="D7" s="5">
        <f>(1/13)*100</f>
        <v>7.6923076923076925</v>
      </c>
      <c r="E7" s="4">
        <v>0.5</v>
      </c>
      <c r="F7" s="2">
        <v>7000</v>
      </c>
      <c r="G7" s="2">
        <f>F7*0.5</f>
        <v>3500</v>
      </c>
      <c r="H7" s="8">
        <f>G7*(C7/100)</f>
        <v>3230.7692307692305</v>
      </c>
      <c r="I7" s="8">
        <f>G7*(D7/100)</f>
        <v>269.23076923076923</v>
      </c>
      <c r="J7" s="2">
        <f t="shared" ref="J7" si="0">H7/I7</f>
        <v>12</v>
      </c>
    </row>
    <row r="8" spans="1:10">
      <c r="A8" t="s">
        <v>10</v>
      </c>
      <c r="B8" s="10" t="s">
        <v>1</v>
      </c>
      <c r="C8" s="5">
        <v>100</v>
      </c>
      <c r="D8" s="5">
        <v>0</v>
      </c>
      <c r="E8" s="4">
        <v>0.85</v>
      </c>
      <c r="F8" s="2">
        <v>2000</v>
      </c>
      <c r="G8" s="2">
        <f>F8*0.85</f>
        <v>1700</v>
      </c>
      <c r="H8" s="2">
        <f>G8*(C8/100)</f>
        <v>1700</v>
      </c>
      <c r="I8" s="2">
        <f>G8*(D8/100)</f>
        <v>0</v>
      </c>
    </row>
    <row r="10" spans="1:10">
      <c r="F10" s="3" t="s">
        <v>16</v>
      </c>
      <c r="G10" s="2">
        <f>SUM(G6:G8)</f>
        <v>5500</v>
      </c>
      <c r="H10" s="8">
        <f>SUM(H6:H8)</f>
        <v>5216.4835164835167</v>
      </c>
      <c r="I10" s="8">
        <f>SUM(I6:I8)</f>
        <v>283.5164835164835</v>
      </c>
      <c r="J10" s="9">
        <f>H10/I10</f>
        <v>18.399224806201552</v>
      </c>
    </row>
    <row r="12" spans="1:10">
      <c r="H12" s="2" t="s">
        <v>6</v>
      </c>
      <c r="I12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XFD1"/>
    </sheetView>
  </sheetViews>
  <sheetFormatPr baseColWidth="10" defaultRowHeight="15" x14ac:dyDescent="0"/>
  <cols>
    <col min="1" max="1" width="14" customWidth="1"/>
    <col min="2" max="2" width="8.6640625" style="16" customWidth="1"/>
    <col min="3" max="3" width="9.83203125" style="14" customWidth="1"/>
    <col min="4" max="4" width="12" style="14" customWidth="1"/>
    <col min="5" max="5" width="10.83203125" style="14"/>
  </cols>
  <sheetData>
    <row r="1" spans="1:5" s="1" customFormat="1" ht="18">
      <c r="A1" s="46" t="s">
        <v>38</v>
      </c>
      <c r="B1" s="15"/>
      <c r="C1" s="13"/>
      <c r="D1" s="13"/>
      <c r="E1" s="13"/>
    </row>
    <row r="2" spans="1:5" s="1" customFormat="1">
      <c r="B2" s="15"/>
      <c r="C2" s="13"/>
      <c r="D2" s="13"/>
      <c r="E2" s="13"/>
    </row>
    <row r="3" spans="1:5" s="1" customFormat="1">
      <c r="A3" s="18">
        <v>42012</v>
      </c>
      <c r="B3" s="19"/>
      <c r="C3" s="20"/>
      <c r="D3" s="20"/>
      <c r="E3" s="37"/>
    </row>
    <row r="4" spans="1:5" s="12" customFormat="1" ht="45">
      <c r="A4" s="21" t="s">
        <v>17</v>
      </c>
      <c r="B4" s="22" t="s">
        <v>2</v>
      </c>
      <c r="C4" s="23" t="s">
        <v>31</v>
      </c>
      <c r="D4" s="23" t="s">
        <v>37</v>
      </c>
      <c r="E4" s="38" t="s">
        <v>32</v>
      </c>
    </row>
    <row r="5" spans="1:5">
      <c r="A5" s="24" t="s">
        <v>21</v>
      </c>
      <c r="B5" s="25">
        <v>3000</v>
      </c>
      <c r="C5" s="26">
        <f>B5/264.1</f>
        <v>11.359333585762968</v>
      </c>
      <c r="D5" s="27">
        <v>20</v>
      </c>
      <c r="E5" s="39">
        <f>C5*D5</f>
        <v>227.18667171525937</v>
      </c>
    </row>
    <row r="6" spans="1:5">
      <c r="A6" s="24" t="s">
        <v>22</v>
      </c>
      <c r="B6" s="25">
        <v>1800</v>
      </c>
      <c r="C6" s="26">
        <f t="shared" ref="C6:C13" si="0">B6/264.1</f>
        <v>6.8156001514577804</v>
      </c>
      <c r="D6" s="27">
        <v>20</v>
      </c>
      <c r="E6" s="39">
        <f t="shared" ref="E6:E13" si="1">C6*D6</f>
        <v>136.31200302915562</v>
      </c>
    </row>
    <row r="7" spans="1:5">
      <c r="A7" s="24" t="s">
        <v>23</v>
      </c>
      <c r="B7" s="25">
        <v>0</v>
      </c>
      <c r="C7" s="26">
        <f>B7/(264.1*0.7)</f>
        <v>0</v>
      </c>
      <c r="D7" s="27">
        <v>60</v>
      </c>
      <c r="E7" s="39">
        <f t="shared" si="1"/>
        <v>0</v>
      </c>
    </row>
    <row r="8" spans="1:5">
      <c r="A8" s="24" t="s">
        <v>24</v>
      </c>
      <c r="B8" s="25">
        <v>0</v>
      </c>
      <c r="C8" s="26">
        <f>B8/(264.1*0.7)</f>
        <v>0</v>
      </c>
      <c r="D8" s="27">
        <v>159</v>
      </c>
      <c r="E8" s="39">
        <f t="shared" si="1"/>
        <v>0</v>
      </c>
    </row>
    <row r="9" spans="1:5">
      <c r="A9" s="24" t="s">
        <v>25</v>
      </c>
      <c r="B9" s="25">
        <v>0</v>
      </c>
      <c r="C9" s="26">
        <f>B9/(264.1*0.7)</f>
        <v>0</v>
      </c>
      <c r="D9" s="27">
        <v>72.900000000000006</v>
      </c>
      <c r="E9" s="39">
        <f t="shared" si="1"/>
        <v>0</v>
      </c>
    </row>
    <row r="10" spans="1:5">
      <c r="A10" s="24" t="s">
        <v>26</v>
      </c>
      <c r="B10" s="25">
        <v>4000</v>
      </c>
      <c r="C10" s="26">
        <f t="shared" si="0"/>
        <v>15.145778114350623</v>
      </c>
      <c r="D10" s="27">
        <v>10</v>
      </c>
      <c r="E10" s="39">
        <f t="shared" si="1"/>
        <v>151.45778114350622</v>
      </c>
    </row>
    <row r="11" spans="1:5">
      <c r="A11" s="24" t="s">
        <v>27</v>
      </c>
      <c r="B11" s="25">
        <v>1000</v>
      </c>
      <c r="C11" s="26">
        <f t="shared" si="0"/>
        <v>3.7864445285876558</v>
      </c>
      <c r="D11" s="27">
        <v>80</v>
      </c>
      <c r="E11" s="39">
        <f t="shared" si="1"/>
        <v>302.91556228701245</v>
      </c>
    </row>
    <row r="12" spans="1:5">
      <c r="A12" s="24" t="s">
        <v>8</v>
      </c>
      <c r="B12" s="25">
        <v>0</v>
      </c>
      <c r="C12" s="26">
        <f t="shared" si="0"/>
        <v>0</v>
      </c>
      <c r="D12" s="27">
        <v>98</v>
      </c>
      <c r="E12" s="39">
        <f t="shared" si="1"/>
        <v>0</v>
      </c>
    </row>
    <row r="13" spans="1:5">
      <c r="A13" s="24" t="s">
        <v>10</v>
      </c>
      <c r="B13" s="25">
        <v>500</v>
      </c>
      <c r="C13" s="26">
        <f t="shared" si="0"/>
        <v>1.8932222642938279</v>
      </c>
      <c r="D13" s="27">
        <v>214</v>
      </c>
      <c r="E13" s="39">
        <f t="shared" si="1"/>
        <v>405.14956455887915</v>
      </c>
    </row>
    <row r="14" spans="1:5">
      <c r="A14" s="24" t="s">
        <v>28</v>
      </c>
      <c r="B14" s="25">
        <v>25</v>
      </c>
      <c r="C14" s="28"/>
      <c r="D14" s="27"/>
      <c r="E14" s="40"/>
    </row>
    <row r="15" spans="1:5">
      <c r="A15" s="24" t="s">
        <v>29</v>
      </c>
      <c r="B15" s="25">
        <v>0</v>
      </c>
      <c r="C15" s="28"/>
      <c r="D15" s="27"/>
      <c r="E15" s="40"/>
    </row>
    <row r="16" spans="1:5">
      <c r="A16" s="24" t="s">
        <v>30</v>
      </c>
      <c r="B16" s="25"/>
      <c r="C16" s="28"/>
      <c r="D16" s="27"/>
      <c r="E16" s="40"/>
    </row>
    <row r="17" spans="1:5">
      <c r="A17" s="24"/>
      <c r="B17" s="25"/>
      <c r="C17" s="27"/>
      <c r="D17" s="27"/>
      <c r="E17" s="40"/>
    </row>
    <row r="18" spans="1:5">
      <c r="A18" s="29" t="s">
        <v>33</v>
      </c>
      <c r="B18" s="25">
        <f>SUM(B5:B16)</f>
        <v>10325</v>
      </c>
      <c r="C18" s="27"/>
      <c r="D18" s="27"/>
      <c r="E18" s="30">
        <f>SUM(E5:E16)</f>
        <v>1223.0215827338129</v>
      </c>
    </row>
    <row r="19" spans="1:5">
      <c r="A19" s="29" t="s">
        <v>34</v>
      </c>
      <c r="B19" s="25">
        <f>(SUM(B5:B10)*100)/B18</f>
        <v>85.230024213075055</v>
      </c>
      <c r="C19" s="27"/>
      <c r="D19" s="27"/>
      <c r="E19" s="40"/>
    </row>
    <row r="20" spans="1:5">
      <c r="A20" s="24"/>
      <c r="B20" s="25"/>
      <c r="C20" s="27"/>
      <c r="D20" s="27"/>
      <c r="E20" s="40"/>
    </row>
    <row r="21" spans="1:5">
      <c r="A21" s="31" t="s">
        <v>35</v>
      </c>
      <c r="B21" s="25"/>
      <c r="C21" s="27"/>
      <c r="D21" s="27"/>
      <c r="E21" s="41">
        <v>519</v>
      </c>
    </row>
    <row r="22" spans="1:5">
      <c r="A22" s="32" t="s">
        <v>36</v>
      </c>
      <c r="B22" s="33"/>
      <c r="C22" s="34"/>
      <c r="D22" s="34"/>
      <c r="E22" s="42">
        <f>1232/(0.553*10*0.388)</f>
        <v>574.18765496541823</v>
      </c>
    </row>
    <row r="23" spans="1:5">
      <c r="A23" s="17"/>
      <c r="E23" s="43"/>
    </row>
    <row r="25" spans="1:5">
      <c r="A25" s="18">
        <v>42093</v>
      </c>
      <c r="B25" s="35"/>
      <c r="C25" s="36"/>
      <c r="D25" s="36"/>
      <c r="E25" s="44"/>
    </row>
    <row r="26" spans="1:5" ht="45">
      <c r="A26" s="21" t="s">
        <v>17</v>
      </c>
      <c r="B26" s="22" t="s">
        <v>2</v>
      </c>
      <c r="C26" s="23" t="s">
        <v>31</v>
      </c>
      <c r="D26" s="23" t="s">
        <v>37</v>
      </c>
      <c r="E26" s="38" t="s">
        <v>32</v>
      </c>
    </row>
    <row r="27" spans="1:5">
      <c r="A27" s="24" t="s">
        <v>21</v>
      </c>
      <c r="B27" s="25">
        <v>4000</v>
      </c>
      <c r="C27" s="26">
        <f>B27/264.1</f>
        <v>15.145778114350623</v>
      </c>
      <c r="D27" s="27">
        <v>20</v>
      </c>
      <c r="E27" s="39">
        <f>C27*D27</f>
        <v>302.91556228701245</v>
      </c>
    </row>
    <row r="28" spans="1:5">
      <c r="A28" s="24" t="s">
        <v>22</v>
      </c>
      <c r="B28" s="25">
        <v>1800</v>
      </c>
      <c r="C28" s="26">
        <f t="shared" ref="C28:C35" si="2">B28/264.1</f>
        <v>6.8156001514577804</v>
      </c>
      <c r="D28" s="27">
        <v>20</v>
      </c>
      <c r="E28" s="39">
        <f t="shared" ref="E28:E35" si="3">C28*D28</f>
        <v>136.31200302915562</v>
      </c>
    </row>
    <row r="29" spans="1:5">
      <c r="A29" s="24" t="s">
        <v>23</v>
      </c>
      <c r="B29" s="25">
        <v>1250</v>
      </c>
      <c r="C29" s="26">
        <f>B29/(264.1*0.7)</f>
        <v>6.7615080867636719</v>
      </c>
      <c r="D29" s="27">
        <v>60</v>
      </c>
      <c r="E29" s="39">
        <f t="shared" si="3"/>
        <v>405.69048520582032</v>
      </c>
    </row>
    <row r="30" spans="1:5">
      <c r="A30" s="24" t="s">
        <v>24</v>
      </c>
      <c r="B30" s="25">
        <v>0</v>
      </c>
      <c r="C30" s="26">
        <f>B30/(264.1*0.7)</f>
        <v>0</v>
      </c>
      <c r="D30" s="27">
        <v>159</v>
      </c>
      <c r="E30" s="39">
        <f t="shared" si="3"/>
        <v>0</v>
      </c>
    </row>
    <row r="31" spans="1:5">
      <c r="A31" s="24" t="s">
        <v>25</v>
      </c>
      <c r="B31" s="25">
        <v>0</v>
      </c>
      <c r="C31" s="26">
        <f>B31/(264.1*0.7)</f>
        <v>0</v>
      </c>
      <c r="D31" s="27">
        <v>72.900000000000006</v>
      </c>
      <c r="E31" s="39">
        <f t="shared" si="3"/>
        <v>0</v>
      </c>
    </row>
    <row r="32" spans="1:5">
      <c r="A32" s="24" t="s">
        <v>26</v>
      </c>
      <c r="B32" s="25">
        <v>0</v>
      </c>
      <c r="C32" s="26">
        <f t="shared" si="2"/>
        <v>0</v>
      </c>
      <c r="D32" s="27">
        <v>10</v>
      </c>
      <c r="E32" s="39">
        <f t="shared" si="3"/>
        <v>0</v>
      </c>
    </row>
    <row r="33" spans="1:5">
      <c r="A33" s="24" t="s">
        <v>27</v>
      </c>
      <c r="B33" s="25">
        <v>4000</v>
      </c>
      <c r="C33" s="26">
        <f t="shared" si="2"/>
        <v>15.145778114350623</v>
      </c>
      <c r="D33" s="27">
        <v>80</v>
      </c>
      <c r="E33" s="39">
        <f t="shared" si="3"/>
        <v>1211.6622491480498</v>
      </c>
    </row>
    <row r="34" spans="1:5">
      <c r="A34" s="24" t="s">
        <v>8</v>
      </c>
      <c r="B34" s="25">
        <v>4000</v>
      </c>
      <c r="C34" s="26">
        <f t="shared" si="2"/>
        <v>15.145778114350623</v>
      </c>
      <c r="D34" s="27">
        <v>98</v>
      </c>
      <c r="E34" s="39">
        <f t="shared" si="3"/>
        <v>1484.2862552063611</v>
      </c>
    </row>
    <row r="35" spans="1:5">
      <c r="A35" s="24" t="s">
        <v>10</v>
      </c>
      <c r="B35" s="25">
        <v>1000</v>
      </c>
      <c r="C35" s="26">
        <f t="shared" si="2"/>
        <v>3.7864445285876558</v>
      </c>
      <c r="D35" s="27">
        <v>214</v>
      </c>
      <c r="E35" s="39">
        <f t="shared" si="3"/>
        <v>810.2991291177583</v>
      </c>
    </row>
    <row r="36" spans="1:5">
      <c r="A36" s="24" t="s">
        <v>28</v>
      </c>
      <c r="B36" s="25">
        <v>50</v>
      </c>
      <c r="C36" s="27"/>
      <c r="D36" s="27"/>
      <c r="E36" s="40"/>
    </row>
    <row r="37" spans="1:5">
      <c r="A37" s="24" t="s">
        <v>29</v>
      </c>
      <c r="B37" s="25"/>
      <c r="C37" s="27"/>
      <c r="D37" s="27"/>
      <c r="E37" s="40"/>
    </row>
    <row r="38" spans="1:5">
      <c r="A38" s="24" t="s">
        <v>30</v>
      </c>
      <c r="B38" s="25"/>
      <c r="C38" s="27"/>
      <c r="D38" s="27"/>
      <c r="E38" s="40"/>
    </row>
    <row r="39" spans="1:5">
      <c r="A39" s="24"/>
      <c r="B39" s="25"/>
      <c r="C39" s="27"/>
      <c r="D39" s="27"/>
      <c r="E39" s="40"/>
    </row>
    <row r="40" spans="1:5">
      <c r="A40" s="29" t="s">
        <v>33</v>
      </c>
      <c r="B40" s="25">
        <f>SUM(B27:B38)</f>
        <v>16100</v>
      </c>
      <c r="C40" s="27"/>
      <c r="D40" s="27"/>
      <c r="E40" s="30">
        <f>SUM(E27:E38)</f>
        <v>4351.1656839941579</v>
      </c>
    </row>
    <row r="41" spans="1:5">
      <c r="A41" s="29" t="s">
        <v>34</v>
      </c>
      <c r="B41" s="25">
        <f>(SUM(B27:B32)*100)/B40</f>
        <v>43.788819875776397</v>
      </c>
      <c r="C41" s="27"/>
      <c r="D41" s="27"/>
      <c r="E41" s="40"/>
    </row>
    <row r="42" spans="1:5">
      <c r="A42" s="24"/>
      <c r="B42" s="25"/>
      <c r="C42" s="27"/>
      <c r="D42" s="27"/>
      <c r="E42" s="40"/>
    </row>
    <row r="43" spans="1:5">
      <c r="A43" s="31" t="s">
        <v>35</v>
      </c>
      <c r="B43" s="25"/>
      <c r="C43" s="27"/>
      <c r="D43" s="27"/>
      <c r="E43" s="45">
        <v>2213</v>
      </c>
    </row>
    <row r="44" spans="1:5">
      <c r="A44" s="32" t="s">
        <v>36</v>
      </c>
      <c r="B44" s="33"/>
      <c r="C44" s="34"/>
      <c r="D44" s="34"/>
      <c r="E44" s="42">
        <f>7303/(0.561*10*0.388)</f>
        <v>3355.1096164801438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 calculation</vt:lpstr>
      <vt:lpstr>Biogas calculation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cp:lastPrinted>2015-07-31T12:15:11Z</cp:lastPrinted>
  <dcterms:created xsi:type="dcterms:W3CDTF">2014-12-10T13:45:23Z</dcterms:created>
  <dcterms:modified xsi:type="dcterms:W3CDTF">2015-11-24T13:54:27Z</dcterms:modified>
</cp:coreProperties>
</file>