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460" windowWidth="28800" windowHeight="17540" tabRatio="765" activeTab="0"/>
  </bookViews>
  <sheets>
    <sheet name="Feuil1" sheetId="1" r:id="rId1"/>
  </sheets>
  <definedNames>
    <definedName name="_xlnm.Print_Area" localSheetId="0">'Feuil1'!$A$1:$H$151</definedName>
  </definedNames>
  <calcPr fullCalcOnLoad="1"/>
</workbook>
</file>

<file path=xl/sharedStrings.xml><?xml version="1.0" encoding="utf-8"?>
<sst xmlns="http://schemas.openxmlformats.org/spreadsheetml/2006/main" count="713" uniqueCount="518">
  <si>
    <t>C/N</t>
  </si>
  <si>
    <t>Engrais de ferme:</t>
  </si>
  <si>
    <t>lisier de volaille</t>
  </si>
  <si>
    <t>Déchets agricoles:</t>
  </si>
  <si>
    <t>foin</t>
  </si>
  <si>
    <t>pailles de maïs</t>
  </si>
  <si>
    <t>feuilles de betteraves</t>
  </si>
  <si>
    <t>fanes de pommes de terre</t>
  </si>
  <si>
    <t>feuillage</t>
  </si>
  <si>
    <t>Déchets agroalimentaires:</t>
  </si>
  <si>
    <t>résidus de distillation des pommes</t>
  </si>
  <si>
    <t>résidus de distillation des pommes de terre</t>
  </si>
  <si>
    <t>résidus de distillation du blé</t>
  </si>
  <si>
    <t>résidus de distillation de la mélasse</t>
  </si>
  <si>
    <t>marc de pommes</t>
  </si>
  <si>
    <t>marc de fruits</t>
  </si>
  <si>
    <t>mélasse</t>
  </si>
  <si>
    <t>petit lait</t>
  </si>
  <si>
    <t>plantes médicinales</t>
  </si>
  <si>
    <t>farine d'extraction du colza</t>
  </si>
  <si>
    <t>déchets verts</t>
  </si>
  <si>
    <t>récolte de jachère</t>
  </si>
  <si>
    <t>farine d'origine animale</t>
  </si>
  <si>
    <t>farine de sang</t>
  </si>
  <si>
    <t>contenu estomac/intestin</t>
  </si>
  <si>
    <t>déchets alimentaires</t>
  </si>
  <si>
    <t>boues de flottation</t>
  </si>
  <si>
    <t>matériaux issus de séparateur de graisses</t>
  </si>
  <si>
    <t>6-11</t>
  </si>
  <si>
    <t>68-85</t>
  </si>
  <si>
    <t>400</t>
  </si>
  <si>
    <t>lisier de bovins</t>
  </si>
  <si>
    <t>fumier de bovins frais</t>
  </si>
  <si>
    <t>12-25</t>
  </si>
  <si>
    <t>14-25</t>
  </si>
  <si>
    <t>lisier de porcs</t>
  </si>
  <si>
    <t>60-85</t>
  </si>
  <si>
    <t>450</t>
  </si>
  <si>
    <t>20-25</t>
  </si>
  <si>
    <t>75-90</t>
  </si>
  <si>
    <t>9-16</t>
  </si>
  <si>
    <t>10-29</t>
  </si>
  <si>
    <t>75-77</t>
  </si>
  <si>
    <t>7</t>
  </si>
  <si>
    <t>470</t>
  </si>
  <si>
    <t>fiente de volaille (solide)</t>
  </si>
  <si>
    <t>70-80</t>
  </si>
  <si>
    <t>80</t>
  </si>
  <si>
    <t>14</t>
  </si>
  <si>
    <t>400-500</t>
  </si>
  <si>
    <t>28</t>
  </si>
  <si>
    <t>75</t>
  </si>
  <si>
    <t>18</t>
  </si>
  <si>
    <t>300-400</t>
  </si>
  <si>
    <t>26-82</t>
  </si>
  <si>
    <t>67-98</t>
  </si>
  <si>
    <t>500-600</t>
  </si>
  <si>
    <t>86-93</t>
  </si>
  <si>
    <t>83-93</t>
  </si>
  <si>
    <t>500</t>
  </si>
  <si>
    <t>20</t>
  </si>
  <si>
    <t>12</t>
  </si>
  <si>
    <t>85-90</t>
  </si>
  <si>
    <t>85-89</t>
  </si>
  <si>
    <t>71-165</t>
  </si>
  <si>
    <t>86</t>
  </si>
  <si>
    <t>72</t>
  </si>
  <si>
    <t>30</t>
  </si>
  <si>
    <t>15-18</t>
  </si>
  <si>
    <t>78-80</t>
  </si>
  <si>
    <t>25</t>
  </si>
  <si>
    <t>79</t>
  </si>
  <si>
    <t>16-25</t>
  </si>
  <si>
    <t>85</t>
  </si>
  <si>
    <t>82</t>
  </si>
  <si>
    <t>50</t>
  </si>
  <si>
    <t>2-3,7</t>
  </si>
  <si>
    <t>94-95</t>
  </si>
  <si>
    <t>6</t>
  </si>
  <si>
    <t>450-500</t>
  </si>
  <si>
    <t>12-15</t>
  </si>
  <si>
    <t>90</t>
  </si>
  <si>
    <t>430-500</t>
  </si>
  <si>
    <t>96-98</t>
  </si>
  <si>
    <t>10,5</t>
  </si>
  <si>
    <t>71,2</t>
  </si>
  <si>
    <t>350-550</t>
  </si>
  <si>
    <t>40-50</t>
  </si>
  <si>
    <t>30-93</t>
  </si>
  <si>
    <t>30-50</t>
  </si>
  <si>
    <t>80-95</t>
  </si>
  <si>
    <t>20-30</t>
  </si>
  <si>
    <t>drèches de brasserie</t>
  </si>
  <si>
    <t>66-95</t>
  </si>
  <si>
    <t>9-10</t>
  </si>
  <si>
    <t>95</t>
  </si>
  <si>
    <t>14-27</t>
  </si>
  <si>
    <t>4,3-6,5</t>
  </si>
  <si>
    <t>80-92</t>
  </si>
  <si>
    <t>27</t>
  </si>
  <si>
    <t>800-900</t>
  </si>
  <si>
    <t>76-90</t>
  </si>
  <si>
    <t>15</t>
  </si>
  <si>
    <t>400-600</t>
  </si>
  <si>
    <t>53</t>
  </si>
  <si>
    <t>55</t>
  </si>
  <si>
    <t>92</t>
  </si>
  <si>
    <t>97</t>
  </si>
  <si>
    <t>41</t>
  </si>
  <si>
    <t>600</t>
  </si>
  <si>
    <t>88</t>
  </si>
  <si>
    <t>93</t>
  </si>
  <si>
    <t>8</t>
  </si>
  <si>
    <t>5</t>
  </si>
  <si>
    <t>12-27</t>
  </si>
  <si>
    <t>22-37</t>
  </si>
  <si>
    <t>93-96</t>
  </si>
  <si>
    <t>23</t>
  </si>
  <si>
    <t>2,5-5</t>
  </si>
  <si>
    <t>4</t>
  </si>
  <si>
    <t>19</t>
  </si>
  <si>
    <t>450-550</t>
  </si>
  <si>
    <t>11-19</t>
  </si>
  <si>
    <t>80-90</t>
  </si>
  <si>
    <t>9-37</t>
  </si>
  <si>
    <t>75-98</t>
  </si>
  <si>
    <t>5-24</t>
  </si>
  <si>
    <t>1200</t>
  </si>
  <si>
    <t>2-70</t>
  </si>
  <si>
    <t>70-99</t>
  </si>
  <si>
    <t>1300</t>
  </si>
  <si>
    <t>65-85</t>
  </si>
  <si>
    <t>400-550</t>
  </si>
  <si>
    <t>10-20</t>
  </si>
  <si>
    <t>5-15</t>
  </si>
  <si>
    <t>7-10</t>
  </si>
  <si>
    <t>25-35</t>
  </si>
  <si>
    <t>72-84</t>
  </si>
  <si>
    <t>18-25</t>
  </si>
  <si>
    <t>14-18</t>
  </si>
  <si>
    <t>fourrage de betteraves hachées</t>
  </si>
  <si>
    <t>patates fraîches (vertes)</t>
  </si>
  <si>
    <t>17-25</t>
  </si>
  <si>
    <t>65-80</t>
  </si>
  <si>
    <t>6-7</t>
  </si>
  <si>
    <t>13-19</t>
  </si>
  <si>
    <t>6-8</t>
  </si>
  <si>
    <t>87-90</t>
  </si>
  <si>
    <t>10-11</t>
  </si>
  <si>
    <t>45</t>
  </si>
  <si>
    <t>déchets de fruits frais</t>
  </si>
  <si>
    <t>déchets de légumes frais</t>
  </si>
  <si>
    <t>extrait de fraisage de colza</t>
  </si>
  <si>
    <t>résidus alimentaires</t>
  </si>
  <si>
    <t>9-18</t>
  </si>
  <si>
    <t>90-95</t>
  </si>
  <si>
    <t>15-20</t>
  </si>
  <si>
    <t>ordures ménagères</t>
  </si>
  <si>
    <t>60-75</t>
  </si>
  <si>
    <t>30-70</t>
  </si>
  <si>
    <t>40-80</t>
  </si>
  <si>
    <t>42</t>
  </si>
  <si>
    <t>87-93</t>
  </si>
  <si>
    <t>pelouse coupée fraîche</t>
  </si>
  <si>
    <t>83-98</t>
  </si>
  <si>
    <t>80-84</t>
  </si>
  <si>
    <t>17-21</t>
  </si>
  <si>
    <t>contenu de la panse sans panse</t>
  </si>
  <si>
    <t>20-45</t>
  </si>
  <si>
    <t>11-20</t>
  </si>
  <si>
    <t xml:space="preserve">résidus de gras </t>
  </si>
  <si>
    <t>35-70</t>
  </si>
  <si>
    <t>96</t>
  </si>
  <si>
    <t>lisier de veaux</t>
  </si>
  <si>
    <t>lisier de génisses</t>
  </si>
  <si>
    <t>22</t>
  </si>
  <si>
    <t>78</t>
  </si>
  <si>
    <t>550</t>
  </si>
  <si>
    <t xml:space="preserve">fumier de porcs </t>
  </si>
  <si>
    <t>fumier de dindes</t>
  </si>
  <si>
    <t>350</t>
  </si>
  <si>
    <t>ensilage maïs</t>
  </si>
  <si>
    <t>ensilage herbe</t>
  </si>
  <si>
    <t>ensilage herbe 1re coupe</t>
  </si>
  <si>
    <t>35</t>
  </si>
  <si>
    <t>ensilage herbe 2e-3e coupe</t>
  </si>
  <si>
    <t>37</t>
  </si>
  <si>
    <t>betteraves sucrières</t>
  </si>
  <si>
    <t>800</t>
  </si>
  <si>
    <t>760</t>
  </si>
  <si>
    <t>céréales déclassées</t>
  </si>
  <si>
    <t>650</t>
  </si>
  <si>
    <t>céréales immatures</t>
  </si>
  <si>
    <t>680</t>
  </si>
  <si>
    <t>seigle vert</t>
  </si>
  <si>
    <t>620</t>
  </si>
  <si>
    <t>670</t>
  </si>
  <si>
    <t>pulpe de pomme de terre ensilé 18% MS</t>
  </si>
  <si>
    <t>640</t>
  </si>
  <si>
    <t>pommes de terre broyées</t>
  </si>
  <si>
    <t>94</t>
  </si>
  <si>
    <t>730</t>
  </si>
  <si>
    <t>83</t>
  </si>
  <si>
    <t>99</t>
  </si>
  <si>
    <t>épluchures de pommes de terre</t>
  </si>
  <si>
    <t>10</t>
  </si>
  <si>
    <t>91</t>
  </si>
  <si>
    <t>amidon de pommes de terre</t>
  </si>
  <si>
    <t>pulpe de pommes de terre 6% MS</t>
  </si>
  <si>
    <t>pulpe de pommes de terre sèche</t>
  </si>
  <si>
    <t>résidus de pommes de terre</t>
  </si>
  <si>
    <t>déchets de céréales</t>
  </si>
  <si>
    <t>87</t>
  </si>
  <si>
    <t>65</t>
  </si>
  <si>
    <t>son de blé</t>
  </si>
  <si>
    <t>750</t>
  </si>
  <si>
    <t>enveloppes de céréales</t>
  </si>
  <si>
    <t>531</t>
  </si>
  <si>
    <t>3-6</t>
  </si>
  <si>
    <t>400-640</t>
  </si>
  <si>
    <t>colza</t>
  </si>
  <si>
    <t>840</t>
  </si>
  <si>
    <t>tourteau de colza 8% huile</t>
  </si>
  <si>
    <t>630</t>
  </si>
  <si>
    <t>tourteau de colza 15% huile</t>
  </si>
  <si>
    <t>765</t>
  </si>
  <si>
    <t>graines de tournesol déclassées</t>
  </si>
  <si>
    <t>lin déclassé</t>
  </si>
  <si>
    <t>860</t>
  </si>
  <si>
    <t>tourteaux de lin</t>
  </si>
  <si>
    <t>graines de soja déclassées</t>
  </si>
  <si>
    <t>tourteaux de soja</t>
  </si>
  <si>
    <t>63-88</t>
  </si>
  <si>
    <t>gluten de maïs</t>
  </si>
  <si>
    <t>pois</t>
  </si>
  <si>
    <t>22-25</t>
  </si>
  <si>
    <t>86-97</t>
  </si>
  <si>
    <t>oignons</t>
  </si>
  <si>
    <t>740</t>
  </si>
  <si>
    <t>carottes</t>
  </si>
  <si>
    <t>cacao</t>
  </si>
  <si>
    <t>410</t>
  </si>
  <si>
    <t>feuilles de choux</t>
  </si>
  <si>
    <t>11</t>
  </si>
  <si>
    <t>déchets de fleurs</t>
  </si>
  <si>
    <t>lupin sucré</t>
  </si>
  <si>
    <t>98</t>
  </si>
  <si>
    <t>780</t>
  </si>
  <si>
    <t>citrouille</t>
  </si>
  <si>
    <t>13</t>
  </si>
  <si>
    <t>75-95</t>
  </si>
  <si>
    <t>28-50</t>
  </si>
  <si>
    <t>260</t>
  </si>
  <si>
    <t>11,7-25</t>
  </si>
  <si>
    <t>700</t>
  </si>
  <si>
    <t>89-90</t>
  </si>
  <si>
    <t>sang frais</t>
  </si>
  <si>
    <t>14-15</t>
  </si>
  <si>
    <t>82-84</t>
  </si>
  <si>
    <t>farine de poissons</t>
  </si>
  <si>
    <t>710</t>
  </si>
  <si>
    <t>déchets de poissons séchés</t>
  </si>
  <si>
    <t>poissons frais</t>
  </si>
  <si>
    <t>gras animal 14%MS</t>
  </si>
  <si>
    <t>1000</t>
  </si>
  <si>
    <t>gras animal 99%MS</t>
  </si>
  <si>
    <t>1100</t>
  </si>
  <si>
    <t>contenu digestif de porc</t>
  </si>
  <si>
    <t>œufs</t>
  </si>
  <si>
    <t xml:space="preserve">lait </t>
  </si>
  <si>
    <t>900</t>
  </si>
  <si>
    <t>poudre de lait allégé sec</t>
  </si>
  <si>
    <t>720</t>
  </si>
  <si>
    <t>eaux blanches de laiterie</t>
  </si>
  <si>
    <t>lait écrémé</t>
  </si>
  <si>
    <t>eaux blanches de laiterie 5%MS</t>
  </si>
  <si>
    <t>eaux blanches de laiterie 12%MS</t>
  </si>
  <si>
    <t>fromage blanc</t>
  </si>
  <si>
    <t>déchets de pains</t>
  </si>
  <si>
    <t>glycérine</t>
  </si>
  <si>
    <t>100</t>
  </si>
  <si>
    <t>850</t>
  </si>
  <si>
    <t>levure de bière sèche</t>
  </si>
  <si>
    <t>21-90</t>
  </si>
  <si>
    <t>levure de bière humide</t>
  </si>
  <si>
    <t>levure de bière pressée</t>
  </si>
  <si>
    <t>26</t>
  </si>
  <si>
    <t>malte</t>
  </si>
  <si>
    <t>déchets industriels de betteraves</t>
  </si>
  <si>
    <t>déchets industriels de betteraves secs</t>
  </si>
  <si>
    <t>sucre déclassé</t>
  </si>
  <si>
    <t>820</t>
  </si>
  <si>
    <t>77-80</t>
  </si>
  <si>
    <t>mélasse et déchets secs</t>
  </si>
  <si>
    <t>boues biologiques d'algues</t>
  </si>
  <si>
    <t>déchets de mayonnaise</t>
  </si>
  <si>
    <t>58</t>
  </si>
  <si>
    <t>huile de cuisson</t>
  </si>
  <si>
    <t>huile végétale pure</t>
  </si>
  <si>
    <t>jus de tas</t>
  </si>
  <si>
    <t>graisses d'épuration des eaux 5%MS</t>
  </si>
  <si>
    <t>graisses d'épuration des eaux 70%MS</t>
  </si>
  <si>
    <t>déchets de nourriture 18%MS</t>
  </si>
  <si>
    <t>marc de raisins</t>
  </si>
  <si>
    <t>contenu de la panse avec panse</t>
  </si>
  <si>
    <t>cannes de maïs</t>
  </si>
  <si>
    <t>52</t>
  </si>
  <si>
    <t>60</t>
  </si>
  <si>
    <t>748</t>
  </si>
  <si>
    <t>ensilage de céréales</t>
  </si>
  <si>
    <t>482-667</t>
  </si>
  <si>
    <t>32-33</t>
  </si>
  <si>
    <t>ensilage de sorgho sucrier</t>
  </si>
  <si>
    <t>ensilage de tournesols</t>
  </si>
  <si>
    <t>611</t>
  </si>
  <si>
    <t>95-98</t>
  </si>
  <si>
    <t>52-65</t>
  </si>
  <si>
    <t>luzernes fraîches</t>
  </si>
  <si>
    <t>16</t>
  </si>
  <si>
    <t>17</t>
  </si>
  <si>
    <t>781</t>
  </si>
  <si>
    <t>250-457</t>
  </si>
  <si>
    <t>50-53</t>
  </si>
  <si>
    <t>ray-grass anglais frais</t>
  </si>
  <si>
    <t>14-20</t>
  </si>
  <si>
    <t>80-87</t>
  </si>
  <si>
    <t>500-780</t>
  </si>
  <si>
    <t>fumier de génisses 0,5-2 ans</t>
  </si>
  <si>
    <t>fumier de veaux</t>
  </si>
  <si>
    <t>lisier de porcelets 9-28kg</t>
  </si>
  <si>
    <t>lisier de truies et porcelets</t>
  </si>
  <si>
    <t>fumier de truies et porcelets</t>
  </si>
  <si>
    <t>fumier de truies</t>
  </si>
  <si>
    <t>fumier de porcelets 9-28kg</t>
  </si>
  <si>
    <t>fumier de moutons- frais</t>
  </si>
  <si>
    <t>fumier de chevaux- frais</t>
  </si>
  <si>
    <t>maïs broyés</t>
  </si>
  <si>
    <t>trèfles frais</t>
  </si>
  <si>
    <t>pailles de céréales</t>
  </si>
  <si>
    <t>plants de tournesol hachés</t>
  </si>
  <si>
    <t>tourteaux de tournesols</t>
  </si>
  <si>
    <t>résidus de distillation des céréales</t>
  </si>
  <si>
    <t>déchets de sucrerie</t>
  </si>
  <si>
    <t>drèches de brasserie ensilées</t>
  </si>
  <si>
    <t>maniocs broyé</t>
  </si>
  <si>
    <t>résidus de graines oléagineuses</t>
  </si>
  <si>
    <t>déchets de fromagerie</t>
  </si>
  <si>
    <t>eaux usées d'épuration</t>
  </si>
  <si>
    <t>résidus de filtration d'huile</t>
  </si>
  <si>
    <t>Min</t>
  </si>
  <si>
    <t>Max</t>
  </si>
  <si>
    <t>Déchets urbains et des abattoir:</t>
  </si>
  <si>
    <t>55-72</t>
  </si>
  <si>
    <t>4-16</t>
  </si>
  <si>
    <t>banane</t>
  </si>
  <si>
    <t>bagasse de canne à sucre</t>
  </si>
  <si>
    <t>pulpe de pomme</t>
  </si>
  <si>
    <t>cow manure</t>
  </si>
  <si>
    <t>Farm fertlizers:</t>
  </si>
  <si>
    <t>calf manure</t>
  </si>
  <si>
    <t>heifer manure</t>
  </si>
  <si>
    <t>fresh cow manure</t>
  </si>
  <si>
    <t>heifer manure up to 2 years old</t>
  </si>
  <si>
    <t>veal manure</t>
  </si>
  <si>
    <t>piglet manure, 9-28 kg</t>
  </si>
  <si>
    <t>sow and piglet manure</t>
  </si>
  <si>
    <t>pig manure</t>
  </si>
  <si>
    <t>sow manure</t>
  </si>
  <si>
    <t>manure of piglets, 9-28 kg</t>
  </si>
  <si>
    <t>poultry manure</t>
  </si>
  <si>
    <t>poultry manure, solid</t>
  </si>
  <si>
    <t>turkey manure</t>
  </si>
  <si>
    <t>sheep manure, fresh</t>
  </si>
  <si>
    <t>horse manure, fresh</t>
  </si>
  <si>
    <t>sorghum silage</t>
  </si>
  <si>
    <t>corn silage</t>
  </si>
  <si>
    <t>grass silage</t>
  </si>
  <si>
    <t>grass silage, 1st cut</t>
  </si>
  <si>
    <t>gass silage, 2nd &amp; 3rd cut</t>
  </si>
  <si>
    <t>hay</t>
  </si>
  <si>
    <t>alfalfa, fresh</t>
  </si>
  <si>
    <t>clover, fresh</t>
  </si>
  <si>
    <t>rye grass, fresh</t>
  </si>
  <si>
    <t>grain silage</t>
  </si>
  <si>
    <t>grain, downgraded</t>
  </si>
  <si>
    <t>grain, immature</t>
  </si>
  <si>
    <t>grain waste</t>
  </si>
  <si>
    <t>grain, 'envelopes'</t>
  </si>
  <si>
    <t>rapeseed oil cake, 8% oil</t>
  </si>
  <si>
    <t>rapeseed oil cake, 15% oil</t>
  </si>
  <si>
    <t>green rye</t>
  </si>
  <si>
    <t>straw, cereal</t>
  </si>
  <si>
    <t>straw, corn</t>
  </si>
  <si>
    <t>potato tops</t>
  </si>
  <si>
    <t>sunflower plants</t>
  </si>
  <si>
    <t>sunflower seeds, declassed</t>
  </si>
  <si>
    <t>sunflower oil cake</t>
  </si>
  <si>
    <t>sunflower, ensiled</t>
  </si>
  <si>
    <t>flaxseed, declassed</t>
  </si>
  <si>
    <t>soybeans, declassed</t>
  </si>
  <si>
    <t>flaxseed, oil cake</t>
  </si>
  <si>
    <t>soybean, oil cake</t>
  </si>
  <si>
    <t>dairy white water</t>
  </si>
  <si>
    <t>foliage</t>
  </si>
  <si>
    <t>potato flesh, ensiled, 18% TS</t>
  </si>
  <si>
    <t>dairy white water, 5% TS</t>
  </si>
  <si>
    <t>dairy white water, 12% TS</t>
  </si>
  <si>
    <t>beet leaves</t>
  </si>
  <si>
    <t>beet pulp</t>
  </si>
  <si>
    <t>beet, sugar</t>
  </si>
  <si>
    <t>corn, canned</t>
  </si>
  <si>
    <t>bananna</t>
  </si>
  <si>
    <t>potato, residue</t>
  </si>
  <si>
    <t>potato pulp, 6% TS</t>
  </si>
  <si>
    <t>apple pulp</t>
  </si>
  <si>
    <t>carrots</t>
  </si>
  <si>
    <t>cocoa</t>
  </si>
  <si>
    <t>cabbage leaves</t>
  </si>
  <si>
    <t>milk</t>
  </si>
  <si>
    <t>rape</t>
  </si>
  <si>
    <t>fresh fruit waste</t>
  </si>
  <si>
    <t>fresh vegetable waste</t>
  </si>
  <si>
    <t>rape seed flour</t>
  </si>
  <si>
    <t>residue of oil seed</t>
  </si>
  <si>
    <t>medicinal plants</t>
  </si>
  <si>
    <t>rape extract</t>
  </si>
  <si>
    <t>bran</t>
  </si>
  <si>
    <t>maize gluten</t>
  </si>
  <si>
    <t>peas</t>
  </si>
  <si>
    <t>pumpkin</t>
  </si>
  <si>
    <t>grass clippings</t>
  </si>
  <si>
    <t>whey</t>
  </si>
  <si>
    <t>dry milk powder</t>
  </si>
  <si>
    <t>milk, skim</t>
  </si>
  <si>
    <t>cream cheese</t>
  </si>
  <si>
    <t>cheese plant waste</t>
  </si>
  <si>
    <t>eggs</t>
  </si>
  <si>
    <t>mayonnaise waste</t>
  </si>
  <si>
    <t>cooking oil</t>
  </si>
  <si>
    <t>pure vegetable oil</t>
  </si>
  <si>
    <t>food waste</t>
  </si>
  <si>
    <t>oil filtration waste</t>
  </si>
  <si>
    <t>nourishment waste, 18% TS?</t>
  </si>
  <si>
    <t>food residue</t>
  </si>
  <si>
    <t>household garbage?</t>
  </si>
  <si>
    <t>fresh blood</t>
  </si>
  <si>
    <t>glycerol</t>
  </si>
  <si>
    <t>blood meal</t>
  </si>
  <si>
    <t>fish meal</t>
  </si>
  <si>
    <t>fish, fresh</t>
  </si>
  <si>
    <t>wheat mash from distilling</t>
  </si>
  <si>
    <t>cereal mash from distilling</t>
  </si>
  <si>
    <t>apple mash from distilling</t>
  </si>
  <si>
    <t>potato mash from distilling</t>
  </si>
  <si>
    <t>molasses residue from distilling</t>
  </si>
  <si>
    <t>potatoes, fresh green</t>
  </si>
  <si>
    <t>potato, dry pulp</t>
  </si>
  <si>
    <t>potatoes, crushed</t>
  </si>
  <si>
    <t>potato peels</t>
  </si>
  <si>
    <t>potato starch</t>
  </si>
  <si>
    <t>beet waste, industrial</t>
  </si>
  <si>
    <t>beet waste, dry</t>
  </si>
  <si>
    <t>sugar, declassed</t>
  </si>
  <si>
    <t>sugar waste</t>
  </si>
  <si>
    <t>apple pomace</t>
  </si>
  <si>
    <t>fruit pomace</t>
  </si>
  <si>
    <t>raisin pomace</t>
  </si>
  <si>
    <t>brewery waste (grain ???)</t>
  </si>
  <si>
    <t>brewery waste, ensiled</t>
  </si>
  <si>
    <t>brewer's yeast, dry</t>
  </si>
  <si>
    <t>brewer's yeast, wet</t>
  </si>
  <si>
    <t>brewer's yeast, pressed</t>
  </si>
  <si>
    <t>malt</t>
  </si>
  <si>
    <t>molasses, waste dry</t>
  </si>
  <si>
    <t>bread waste</t>
  </si>
  <si>
    <t>onions</t>
  </si>
  <si>
    <t>manioc, crushed</t>
  </si>
  <si>
    <t>green waste</t>
  </si>
  <si>
    <t>flower waste</t>
  </si>
  <si>
    <t>lupin sugar</t>
  </si>
  <si>
    <t>animal meal</t>
  </si>
  <si>
    <t>animal fat, 14% TS</t>
  </si>
  <si>
    <t>animal fat, 99% TS</t>
  </si>
  <si>
    <t>fat residue</t>
  </si>
  <si>
    <t>flotation sludge</t>
  </si>
  <si>
    <t>fish waste, dry</t>
  </si>
  <si>
    <t>pig, digestive contents</t>
  </si>
  <si>
    <t>intestine &amp; stomach contents</t>
  </si>
  <si>
    <t>belly conents without belly</t>
  </si>
  <si>
    <t>belly contents with belly</t>
  </si>
  <si>
    <t>material from separation of grease</t>
  </si>
  <si>
    <t>water used for purification</t>
  </si>
  <si>
    <t>grease dewatering liquid, 5% TS</t>
  </si>
  <si>
    <t>grease dewatering liquid, 70% TS</t>
  </si>
  <si>
    <t>algae sludge</t>
  </si>
  <si>
    <t>heap juice ???</t>
  </si>
  <si>
    <t>2.5-9.7</t>
  </si>
  <si>
    <t>32-32.5</t>
  </si>
  <si>
    <t>Crops:</t>
  </si>
  <si>
    <t>Food processing materials:</t>
  </si>
  <si>
    <t>Waste / residuals:</t>
  </si>
  <si>
    <t>TS</t>
  </si>
  <si>
    <t>Oganic matter</t>
  </si>
  <si>
    <t>(ratio C:N)</t>
  </si>
  <si>
    <r>
      <t>(m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/metric tonne OM)</t>
    </r>
  </si>
  <si>
    <t>(% TS)</t>
  </si>
  <si>
    <t>(% OM)</t>
  </si>
  <si>
    <t>average biogas yield</t>
  </si>
  <si>
    <t>CH4 yield</t>
  </si>
  <si>
    <t>(% CH4)</t>
  </si>
  <si>
    <t>Composition &amp; biogas yeld of farm &amp; co-substrates:</t>
  </si>
  <si>
    <t>m3/mt fresh</t>
  </si>
  <si>
    <t>low</t>
  </si>
  <si>
    <t>high</t>
  </si>
  <si>
    <t>avg</t>
  </si>
  <si>
    <t xml:space="preserve"> </t>
  </si>
  <si>
    <t>biogas yield (m3/fresh metric tonne)</t>
  </si>
  <si>
    <t>fallow crops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</si>
</sst>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-C0C]d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23" fillId="10" borderId="0" xfId="0" applyFont="1" applyFill="1" applyAlignment="1">
      <alignment/>
    </xf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23" fillId="0" borderId="0" xfId="0" applyFont="1" applyAlignment="1">
      <alignment horizontal="left"/>
    </xf>
    <xf numFmtId="173" fontId="4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3" fontId="4" fillId="10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right"/>
    </xf>
    <xf numFmtId="173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="125" zoomScaleNormal="125" zoomScalePageLayoutView="0" workbookViewId="0" topLeftCell="A1">
      <pane xSplit="1" ySplit="3" topLeftCell="B1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48" sqref="K148:K151"/>
    </sheetView>
  </sheetViews>
  <sheetFormatPr defaultColWidth="11.421875" defaultRowHeight="12.75"/>
  <cols>
    <col min="1" max="1" width="36.7109375" style="3" customWidth="1"/>
    <col min="2" max="2" width="26.28125" style="3" customWidth="1"/>
    <col min="3" max="3" width="9.7109375" style="2" customWidth="1"/>
    <col min="4" max="4" width="11.421875" style="2" customWidth="1"/>
    <col min="5" max="5" width="9.7109375" style="2" customWidth="1"/>
    <col min="6" max="6" width="18.28125" style="2" customWidth="1"/>
    <col min="7" max="7" width="6.28125" style="2" customWidth="1"/>
    <col min="8" max="8" width="5.00390625" style="2" customWidth="1"/>
    <col min="9" max="10" width="10.8515625" style="13" customWidth="1"/>
    <col min="11" max="11" width="10.8515625" style="17" customWidth="1"/>
    <col min="12" max="12" width="8.28125" style="2" customWidth="1"/>
    <col min="13" max="16384" width="10.8515625" style="3" customWidth="1"/>
  </cols>
  <sheetData>
    <row r="1" spans="1:11" ht="15">
      <c r="A1" s="12" t="s">
        <v>510</v>
      </c>
      <c r="B1" s="12"/>
      <c r="I1" s="20" t="s">
        <v>516</v>
      </c>
      <c r="J1" s="20"/>
      <c r="K1" s="20"/>
    </row>
    <row r="2" spans="3:12" ht="15">
      <c r="C2" s="4" t="s">
        <v>501</v>
      </c>
      <c r="D2" s="4" t="s">
        <v>502</v>
      </c>
      <c r="E2" s="4" t="s">
        <v>0</v>
      </c>
      <c r="F2" s="4" t="s">
        <v>507</v>
      </c>
      <c r="G2" s="4" t="s">
        <v>349</v>
      </c>
      <c r="H2" s="4" t="s">
        <v>350</v>
      </c>
      <c r="I2" s="14" t="s">
        <v>511</v>
      </c>
      <c r="J2" s="14" t="s">
        <v>511</v>
      </c>
      <c r="K2" s="14" t="s">
        <v>511</v>
      </c>
      <c r="L2" s="4" t="s">
        <v>508</v>
      </c>
    </row>
    <row r="3" spans="3:12" ht="16.5">
      <c r="C3" s="2" t="s">
        <v>505</v>
      </c>
      <c r="D3" s="2" t="s">
        <v>506</v>
      </c>
      <c r="E3" s="2" t="s">
        <v>503</v>
      </c>
      <c r="F3" s="2" t="s">
        <v>504</v>
      </c>
      <c r="I3" s="13" t="s">
        <v>512</v>
      </c>
      <c r="J3" s="13" t="s">
        <v>513</v>
      </c>
      <c r="K3" s="17" t="s">
        <v>514</v>
      </c>
      <c r="L3" s="2" t="s">
        <v>509</v>
      </c>
    </row>
    <row r="4" spans="1:12" ht="15">
      <c r="A4" s="1" t="s">
        <v>1</v>
      </c>
      <c r="B4" s="8" t="s">
        <v>358</v>
      </c>
      <c r="C4" s="9"/>
      <c r="D4" s="9"/>
      <c r="E4" s="9"/>
      <c r="F4" s="9"/>
      <c r="G4" s="9"/>
      <c r="H4" s="9"/>
      <c r="I4" s="18"/>
      <c r="J4" s="18"/>
      <c r="K4" s="19"/>
      <c r="L4" s="9"/>
    </row>
    <row r="5" spans="1:12" ht="15">
      <c r="A5" s="3" t="s">
        <v>173</v>
      </c>
      <c r="B5" s="3" t="s">
        <v>359</v>
      </c>
      <c r="C5" s="2">
        <v>6</v>
      </c>
      <c r="D5" s="2">
        <v>80</v>
      </c>
      <c r="F5" s="2">
        <v>600</v>
      </c>
      <c r="K5" s="13">
        <f>F5*0.06*0.8</f>
        <v>28.8</v>
      </c>
      <c r="L5" s="2">
        <v>55</v>
      </c>
    </row>
    <row r="6" spans="1:12" ht="15">
      <c r="A6" s="3" t="s">
        <v>174</v>
      </c>
      <c r="B6" s="3" t="s">
        <v>360</v>
      </c>
      <c r="C6" s="2">
        <v>8</v>
      </c>
      <c r="D6" s="2">
        <v>81</v>
      </c>
      <c r="F6" s="2">
        <v>450</v>
      </c>
      <c r="K6" s="13">
        <f>F6*0.08*0.81</f>
        <v>29.160000000000004</v>
      </c>
      <c r="L6" s="2">
        <v>55</v>
      </c>
    </row>
    <row r="7" spans="1:12" ht="15">
      <c r="A7" s="3" t="s">
        <v>31</v>
      </c>
      <c r="B7" s="3" t="s">
        <v>357</v>
      </c>
      <c r="C7" s="5" t="s">
        <v>28</v>
      </c>
      <c r="D7" s="5" t="s">
        <v>29</v>
      </c>
      <c r="E7" s="5" t="s">
        <v>133</v>
      </c>
      <c r="F7" s="5" t="s">
        <v>30</v>
      </c>
      <c r="G7" s="2">
        <v>180</v>
      </c>
      <c r="H7" s="2">
        <v>400</v>
      </c>
      <c r="L7" s="2">
        <v>55</v>
      </c>
    </row>
    <row r="8" spans="1:12" ht="15">
      <c r="A8" s="3" t="s">
        <v>32</v>
      </c>
      <c r="B8" s="3" t="s">
        <v>361</v>
      </c>
      <c r="C8" s="5" t="s">
        <v>33</v>
      </c>
      <c r="D8" s="5" t="s">
        <v>131</v>
      </c>
      <c r="E8" s="5" t="s">
        <v>34</v>
      </c>
      <c r="F8" s="5" t="s">
        <v>30</v>
      </c>
      <c r="L8" s="2">
        <v>55</v>
      </c>
    </row>
    <row r="9" spans="1:12" ht="15">
      <c r="A9" s="3" t="s">
        <v>327</v>
      </c>
      <c r="B9" s="3" t="s">
        <v>362</v>
      </c>
      <c r="C9" s="5" t="s">
        <v>120</v>
      </c>
      <c r="D9" s="5" t="s">
        <v>47</v>
      </c>
      <c r="E9" s="5"/>
      <c r="F9" s="5" t="s">
        <v>37</v>
      </c>
      <c r="K9" s="13">
        <f>F9*0.19*0.8</f>
        <v>68.4</v>
      </c>
      <c r="L9" s="2">
        <v>55</v>
      </c>
    </row>
    <row r="10" spans="1:12" ht="15">
      <c r="A10" s="3" t="s">
        <v>328</v>
      </c>
      <c r="B10" s="3" t="s">
        <v>363</v>
      </c>
      <c r="C10" s="5" t="s">
        <v>120</v>
      </c>
      <c r="D10" s="5" t="s">
        <v>47</v>
      </c>
      <c r="E10" s="5"/>
      <c r="F10" s="5" t="s">
        <v>37</v>
      </c>
      <c r="K10" s="13">
        <f>F10*0.19*0.8</f>
        <v>68.4</v>
      </c>
      <c r="L10" s="2">
        <v>55</v>
      </c>
    </row>
    <row r="11" spans="1:12" ht="15">
      <c r="A11" s="3" t="s">
        <v>329</v>
      </c>
      <c r="B11" s="3" t="s">
        <v>364</v>
      </c>
      <c r="C11" s="5" t="s">
        <v>113</v>
      </c>
      <c r="D11" s="5" t="s">
        <v>73</v>
      </c>
      <c r="E11" s="5"/>
      <c r="F11" s="5" t="s">
        <v>59</v>
      </c>
      <c r="K11" s="13">
        <f>F11*0.05*0.85</f>
        <v>21.25</v>
      </c>
      <c r="L11" s="2">
        <v>60</v>
      </c>
    </row>
    <row r="12" spans="1:12" ht="15">
      <c r="A12" s="3" t="s">
        <v>330</v>
      </c>
      <c r="B12" s="3" t="s">
        <v>365</v>
      </c>
      <c r="C12" s="5" t="s">
        <v>119</v>
      </c>
      <c r="D12" s="5" t="s">
        <v>73</v>
      </c>
      <c r="E12" s="5"/>
      <c r="F12" s="5" t="s">
        <v>59</v>
      </c>
      <c r="K12" s="13">
        <f>F12*0.04*0.85</f>
        <v>17</v>
      </c>
      <c r="L12" s="2">
        <v>60</v>
      </c>
    </row>
    <row r="13" spans="1:12" ht="15">
      <c r="A13" s="3" t="s">
        <v>35</v>
      </c>
      <c r="B13" s="3" t="s">
        <v>366</v>
      </c>
      <c r="C13" s="5" t="s">
        <v>496</v>
      </c>
      <c r="D13" s="5" t="s">
        <v>36</v>
      </c>
      <c r="E13" s="5" t="s">
        <v>134</v>
      </c>
      <c r="F13" s="5" t="s">
        <v>37</v>
      </c>
      <c r="G13" s="2">
        <v>350</v>
      </c>
      <c r="H13" s="2">
        <v>550</v>
      </c>
      <c r="I13" s="13">
        <f>F13*0.025*0.097</f>
        <v>1.09125</v>
      </c>
      <c r="J13" s="13">
        <f>F13*0.6*0.85</f>
        <v>229.5</v>
      </c>
      <c r="L13" s="2">
        <v>60</v>
      </c>
    </row>
    <row r="14" spans="1:12" ht="15">
      <c r="A14" s="3" t="s">
        <v>331</v>
      </c>
      <c r="B14" s="3" t="s">
        <v>365</v>
      </c>
      <c r="C14" s="5" t="s">
        <v>175</v>
      </c>
      <c r="D14" s="5" t="s">
        <v>176</v>
      </c>
      <c r="E14" s="5"/>
      <c r="F14" s="5" t="s">
        <v>37</v>
      </c>
      <c r="K14" s="13">
        <f>F14*0.22*0.78</f>
        <v>77.22</v>
      </c>
      <c r="L14" s="2">
        <v>60</v>
      </c>
    </row>
    <row r="15" spans="1:12" ht="15">
      <c r="A15" s="3" t="s">
        <v>332</v>
      </c>
      <c r="B15" s="3" t="s">
        <v>367</v>
      </c>
      <c r="C15" s="5" t="s">
        <v>175</v>
      </c>
      <c r="D15" s="5" t="s">
        <v>176</v>
      </c>
      <c r="E15" s="5"/>
      <c r="F15" s="5" t="s">
        <v>59</v>
      </c>
      <c r="K15" s="13">
        <f>F15*0.22*0.78</f>
        <v>85.8</v>
      </c>
      <c r="L15" s="2">
        <v>60</v>
      </c>
    </row>
    <row r="16" spans="1:12" ht="15">
      <c r="A16" s="3" t="s">
        <v>333</v>
      </c>
      <c r="B16" s="3" t="s">
        <v>368</v>
      </c>
      <c r="C16" s="5" t="s">
        <v>175</v>
      </c>
      <c r="D16" s="5" t="s">
        <v>176</v>
      </c>
      <c r="E16" s="5"/>
      <c r="F16" s="5" t="s">
        <v>177</v>
      </c>
      <c r="K16" s="13">
        <f>F16*0.22*0.78</f>
        <v>94.38000000000001</v>
      </c>
      <c r="L16" s="2">
        <v>60</v>
      </c>
    </row>
    <row r="17" spans="1:12" ht="15">
      <c r="A17" s="3" t="s">
        <v>178</v>
      </c>
      <c r="B17" s="3" t="s">
        <v>366</v>
      </c>
      <c r="C17" s="5" t="s">
        <v>38</v>
      </c>
      <c r="D17" s="5" t="s">
        <v>39</v>
      </c>
      <c r="E17" s="5" t="s">
        <v>40</v>
      </c>
      <c r="F17" s="5" t="s">
        <v>37</v>
      </c>
      <c r="I17" s="13">
        <f>F17*0.2*0.75</f>
        <v>67.5</v>
      </c>
      <c r="J17" s="13">
        <f>F17*0.25*0.9</f>
        <v>101.25</v>
      </c>
      <c r="K17" s="13">
        <f>AVERAGE(I17:J17)</f>
        <v>84.375</v>
      </c>
      <c r="L17" s="2">
        <v>60</v>
      </c>
    </row>
    <row r="18" spans="1:12" ht="15">
      <c r="A18" s="3" t="s">
        <v>2</v>
      </c>
      <c r="B18" s="3" t="s">
        <v>369</v>
      </c>
      <c r="C18" s="5" t="s">
        <v>41</v>
      </c>
      <c r="D18" s="5" t="s">
        <v>42</v>
      </c>
      <c r="E18" s="5" t="s">
        <v>43</v>
      </c>
      <c r="F18" s="5" t="s">
        <v>59</v>
      </c>
      <c r="G18" s="2">
        <v>470</v>
      </c>
      <c r="H18" s="2">
        <v>500</v>
      </c>
      <c r="I18" s="13">
        <f>F18*0.1*0.77</f>
        <v>38.5</v>
      </c>
      <c r="J18" s="13">
        <f>F18*0.29*0.77</f>
        <v>111.65</v>
      </c>
      <c r="K18" s="13">
        <f aca="true" t="shared" si="0" ref="K18:K32">AVERAGE(I18:J18)</f>
        <v>75.075</v>
      </c>
      <c r="L18" s="2">
        <v>62</v>
      </c>
    </row>
    <row r="19" spans="1:12" ht="15">
      <c r="A19" s="3" t="s">
        <v>45</v>
      </c>
      <c r="B19" s="3" t="s">
        <v>370</v>
      </c>
      <c r="C19" s="5" t="s">
        <v>497</v>
      </c>
      <c r="D19" s="5" t="s">
        <v>46</v>
      </c>
      <c r="E19" s="5" t="s">
        <v>135</v>
      </c>
      <c r="F19" s="5" t="s">
        <v>44</v>
      </c>
      <c r="G19" s="2">
        <v>330</v>
      </c>
      <c r="H19" s="2">
        <v>650</v>
      </c>
      <c r="I19" s="13">
        <f>F19*0.32*0.7</f>
        <v>105.28</v>
      </c>
      <c r="J19" s="13">
        <f>F19*0.325*0.8</f>
        <v>122.2</v>
      </c>
      <c r="K19" s="13">
        <f t="shared" si="0"/>
        <v>113.74000000000001</v>
      </c>
      <c r="L19" s="2">
        <v>62</v>
      </c>
    </row>
    <row r="20" spans="1:12" ht="15">
      <c r="A20" s="3" t="s">
        <v>179</v>
      </c>
      <c r="B20" s="3" t="s">
        <v>371</v>
      </c>
      <c r="C20" s="5" t="s">
        <v>105</v>
      </c>
      <c r="D20" s="5" t="s">
        <v>51</v>
      </c>
      <c r="E20" s="5"/>
      <c r="F20" s="5" t="s">
        <v>180</v>
      </c>
      <c r="K20" s="13">
        <f>F20*0.55*0.75</f>
        <v>144.37500000000003</v>
      </c>
      <c r="L20" s="2">
        <v>62</v>
      </c>
    </row>
    <row r="21" spans="1:12" ht="15">
      <c r="A21" s="3" t="s">
        <v>334</v>
      </c>
      <c r="B21" s="3" t="s">
        <v>372</v>
      </c>
      <c r="C21" s="5" t="s">
        <v>136</v>
      </c>
      <c r="D21" s="5" t="s">
        <v>137</v>
      </c>
      <c r="E21" s="5" t="s">
        <v>34</v>
      </c>
      <c r="F21" s="5" t="s">
        <v>49</v>
      </c>
      <c r="G21" s="2">
        <v>250</v>
      </c>
      <c r="H21" s="2">
        <v>500</v>
      </c>
      <c r="I21" s="13">
        <f>400*0.25*0.72</f>
        <v>72</v>
      </c>
      <c r="J21" s="13">
        <f>500*0.35*0.84</f>
        <v>147</v>
      </c>
      <c r="K21" s="13">
        <f t="shared" si="0"/>
        <v>109.5</v>
      </c>
      <c r="L21" s="2">
        <v>55</v>
      </c>
    </row>
    <row r="22" spans="1:12" ht="15">
      <c r="A22" s="3" t="s">
        <v>335</v>
      </c>
      <c r="B22" s="3" t="s">
        <v>373</v>
      </c>
      <c r="C22" s="5" t="s">
        <v>50</v>
      </c>
      <c r="D22" s="5" t="s">
        <v>51</v>
      </c>
      <c r="E22" s="5" t="s">
        <v>138</v>
      </c>
      <c r="F22" s="5" t="s">
        <v>53</v>
      </c>
      <c r="G22" s="2">
        <v>250</v>
      </c>
      <c r="H22" s="2">
        <v>350</v>
      </c>
      <c r="I22" s="13">
        <f>300*0.28*0.75</f>
        <v>63.000000000000014</v>
      </c>
      <c r="J22" s="13">
        <f>400*0.28*0.75</f>
        <v>84.00000000000001</v>
      </c>
      <c r="K22" s="13">
        <f t="shared" si="0"/>
        <v>73.50000000000001</v>
      </c>
      <c r="L22" s="2">
        <v>55</v>
      </c>
    </row>
    <row r="23" spans="1:12" ht="15">
      <c r="A23" s="1" t="s">
        <v>3</v>
      </c>
      <c r="B23" s="8" t="s">
        <v>498</v>
      </c>
      <c r="C23" s="10"/>
      <c r="D23" s="10"/>
      <c r="E23" s="10"/>
      <c r="F23" s="10"/>
      <c r="G23" s="10"/>
      <c r="H23" s="10"/>
      <c r="I23" s="18"/>
      <c r="J23" s="18"/>
      <c r="K23" s="18" t="s">
        <v>515</v>
      </c>
      <c r="L23" s="11"/>
    </row>
    <row r="24" spans="1:12" ht="15">
      <c r="A24" s="3" t="s">
        <v>312</v>
      </c>
      <c r="B24" s="3" t="s">
        <v>374</v>
      </c>
      <c r="C24" s="2">
        <v>30</v>
      </c>
      <c r="D24" s="2">
        <v>92</v>
      </c>
      <c r="E24" s="2">
        <v>42</v>
      </c>
      <c r="F24" s="2">
        <v>688</v>
      </c>
      <c r="K24" s="13">
        <f>F24*0.3*0.92</f>
        <v>189.888</v>
      </c>
      <c r="L24" s="2">
        <v>55</v>
      </c>
    </row>
    <row r="25" spans="1:12" ht="15">
      <c r="A25" s="3" t="s">
        <v>181</v>
      </c>
      <c r="B25" s="3" t="s">
        <v>375</v>
      </c>
      <c r="C25" s="2" t="s">
        <v>311</v>
      </c>
      <c r="D25" s="2" t="s">
        <v>155</v>
      </c>
      <c r="E25" s="2">
        <v>40</v>
      </c>
      <c r="F25" s="2">
        <v>650</v>
      </c>
      <c r="G25" s="2">
        <v>650</v>
      </c>
      <c r="H25" s="2">
        <v>708</v>
      </c>
      <c r="I25" s="13">
        <f>F25*0.32*0.9</f>
        <v>187.20000000000002</v>
      </c>
      <c r="J25" s="13">
        <f>F25*0.33*0.95</f>
        <v>203.77499999999998</v>
      </c>
      <c r="K25" s="13">
        <f t="shared" si="0"/>
        <v>195.4875</v>
      </c>
      <c r="L25" s="2">
        <v>52</v>
      </c>
    </row>
    <row r="26" spans="1:12" ht="15">
      <c r="A26" s="3" t="s">
        <v>336</v>
      </c>
      <c r="C26" s="2" t="s">
        <v>232</v>
      </c>
      <c r="D26" s="2" t="s">
        <v>315</v>
      </c>
      <c r="E26" s="2">
        <v>50</v>
      </c>
      <c r="F26" s="2">
        <v>700</v>
      </c>
      <c r="I26" s="13">
        <f>F26*0.63*0.94</f>
        <v>414.53999999999996</v>
      </c>
      <c r="J26" s="13">
        <f>F26*0.88*0.98</f>
        <v>603.68</v>
      </c>
      <c r="K26" s="13">
        <f t="shared" si="0"/>
        <v>509.10999999999996</v>
      </c>
      <c r="L26" s="2">
        <v>60</v>
      </c>
    </row>
    <row r="27" spans="1:12" ht="15">
      <c r="A27" s="3" t="s">
        <v>182</v>
      </c>
      <c r="B27" s="3" t="s">
        <v>376</v>
      </c>
      <c r="C27" s="5" t="s">
        <v>54</v>
      </c>
      <c r="D27" s="5" t="s">
        <v>55</v>
      </c>
      <c r="E27" s="5"/>
      <c r="F27" s="5" t="s">
        <v>56</v>
      </c>
      <c r="G27" s="2">
        <v>500</v>
      </c>
      <c r="H27" s="2">
        <v>600</v>
      </c>
      <c r="I27" s="13">
        <f>500*0.25*0.67</f>
        <v>83.75</v>
      </c>
      <c r="J27" s="13">
        <f>600*0.82*0.98</f>
        <v>482.1599999999999</v>
      </c>
      <c r="K27" s="13">
        <f t="shared" si="0"/>
        <v>282.9549999999999</v>
      </c>
      <c r="L27" s="2">
        <v>54</v>
      </c>
    </row>
    <row r="28" spans="1:12" ht="15">
      <c r="A28" s="3" t="s">
        <v>183</v>
      </c>
      <c r="B28" s="3" t="s">
        <v>377</v>
      </c>
      <c r="C28" s="5" t="s">
        <v>184</v>
      </c>
      <c r="D28" s="5" t="s">
        <v>73</v>
      </c>
      <c r="E28" s="5"/>
      <c r="F28" s="5" t="s">
        <v>109</v>
      </c>
      <c r="K28" s="15">
        <f>F28*0.35*0.85</f>
        <v>178.5</v>
      </c>
      <c r="L28" s="2">
        <v>55</v>
      </c>
    </row>
    <row r="29" spans="1:12" ht="15">
      <c r="A29" s="3" t="s">
        <v>185</v>
      </c>
      <c r="B29" s="3" t="s">
        <v>378</v>
      </c>
      <c r="C29" s="5" t="s">
        <v>186</v>
      </c>
      <c r="D29" s="5" t="s">
        <v>73</v>
      </c>
      <c r="E29" s="5"/>
      <c r="F29" s="5" t="s">
        <v>59</v>
      </c>
      <c r="K29" s="15">
        <f>F29*0.37*0.85</f>
        <v>157.25</v>
      </c>
      <c r="L29" s="2">
        <v>53</v>
      </c>
    </row>
    <row r="30" spans="1:12" ht="15">
      <c r="A30" s="3" t="s">
        <v>4</v>
      </c>
      <c r="B30" s="3" t="s">
        <v>379</v>
      </c>
      <c r="C30" s="5" t="s">
        <v>57</v>
      </c>
      <c r="D30" s="5" t="s">
        <v>58</v>
      </c>
      <c r="E30" s="5" t="s">
        <v>102</v>
      </c>
      <c r="F30" s="5" t="s">
        <v>59</v>
      </c>
      <c r="I30" s="15">
        <f>F30*0.86*0.83</f>
        <v>356.9</v>
      </c>
      <c r="J30" s="13">
        <f>F30*0.93*0.93</f>
        <v>432.45000000000005</v>
      </c>
      <c r="K30" s="13">
        <f t="shared" si="0"/>
        <v>394.675</v>
      </c>
      <c r="L30" s="2">
        <v>50</v>
      </c>
    </row>
    <row r="31" spans="1:12" ht="15">
      <c r="A31" s="3" t="s">
        <v>317</v>
      </c>
      <c r="B31" s="3" t="s">
        <v>380</v>
      </c>
      <c r="C31" s="5" t="s">
        <v>318</v>
      </c>
      <c r="D31" s="5" t="s">
        <v>110</v>
      </c>
      <c r="E31" s="5" t="s">
        <v>319</v>
      </c>
      <c r="F31" s="5" t="s">
        <v>320</v>
      </c>
      <c r="K31" s="15">
        <f>F31*0.16*0.88</f>
        <v>109.96480000000001</v>
      </c>
      <c r="L31" s="2">
        <v>55</v>
      </c>
    </row>
    <row r="32" spans="1:12" ht="15">
      <c r="A32" s="3" t="s">
        <v>337</v>
      </c>
      <c r="B32" s="3" t="s">
        <v>381</v>
      </c>
      <c r="C32" s="5" t="s">
        <v>324</v>
      </c>
      <c r="D32" s="5" t="s">
        <v>325</v>
      </c>
      <c r="E32" s="5" t="s">
        <v>61</v>
      </c>
      <c r="F32" s="5" t="s">
        <v>326</v>
      </c>
      <c r="G32" s="2">
        <v>500</v>
      </c>
      <c r="H32" s="2">
        <v>780</v>
      </c>
      <c r="I32" s="16">
        <f>500*0.14*0.8</f>
        <v>56</v>
      </c>
      <c r="J32" s="13">
        <f>780*0.2*0.87</f>
        <v>135.72</v>
      </c>
      <c r="K32" s="13">
        <f t="shared" si="0"/>
        <v>95.86</v>
      </c>
      <c r="L32" s="2">
        <v>55</v>
      </c>
    </row>
    <row r="33" spans="1:12" ht="15">
      <c r="A33" s="3" t="s">
        <v>323</v>
      </c>
      <c r="B33" s="3" t="s">
        <v>382</v>
      </c>
      <c r="C33" s="5" t="s">
        <v>319</v>
      </c>
      <c r="D33" s="5" t="s">
        <v>206</v>
      </c>
      <c r="E33" s="5" t="s">
        <v>318</v>
      </c>
      <c r="F33" s="5" t="s">
        <v>221</v>
      </c>
      <c r="K33" s="15">
        <f>840*0.17*0.91</f>
        <v>129.948</v>
      </c>
      <c r="L33" s="2">
        <v>55</v>
      </c>
    </row>
    <row r="34" spans="1:12" ht="15">
      <c r="A34" s="3" t="s">
        <v>309</v>
      </c>
      <c r="B34" s="3" t="s">
        <v>383</v>
      </c>
      <c r="C34" s="5" t="s">
        <v>184</v>
      </c>
      <c r="D34" s="5" t="s">
        <v>255</v>
      </c>
      <c r="E34" s="5" t="s">
        <v>213</v>
      </c>
      <c r="F34" s="5" t="s">
        <v>310</v>
      </c>
      <c r="G34" s="2">
        <v>482</v>
      </c>
      <c r="H34" s="2">
        <v>667</v>
      </c>
      <c r="K34" s="15">
        <f>482*0.35*0.9</f>
        <v>151.82999999999998</v>
      </c>
      <c r="L34" s="2">
        <v>52</v>
      </c>
    </row>
    <row r="35" spans="1:12" ht="15">
      <c r="A35" s="3" t="s">
        <v>192</v>
      </c>
      <c r="B35" s="3" t="s">
        <v>385</v>
      </c>
      <c r="C35" s="5" t="s">
        <v>99</v>
      </c>
      <c r="D35" s="5" t="s">
        <v>81</v>
      </c>
      <c r="E35" s="5"/>
      <c r="F35" s="5" t="s">
        <v>193</v>
      </c>
      <c r="K35" s="15">
        <f>F35*0.27*0.9</f>
        <v>165.24000000000004</v>
      </c>
      <c r="L35" s="2">
        <v>52</v>
      </c>
    </row>
    <row r="36" spans="1:12" ht="15">
      <c r="A36" s="3" t="s">
        <v>190</v>
      </c>
      <c r="B36" s="3" t="s">
        <v>384</v>
      </c>
      <c r="C36" s="5" t="s">
        <v>65</v>
      </c>
      <c r="D36" s="5" t="s">
        <v>81</v>
      </c>
      <c r="E36" s="5"/>
      <c r="F36" s="5" t="s">
        <v>189</v>
      </c>
      <c r="K36" s="15">
        <f>F36*0.86*0.9</f>
        <v>588.24</v>
      </c>
      <c r="L36" s="2" t="s">
        <v>316</v>
      </c>
    </row>
    <row r="37" spans="1:12" ht="15">
      <c r="A37" s="3" t="s">
        <v>211</v>
      </c>
      <c r="B37" s="3" t="s">
        <v>386</v>
      </c>
      <c r="C37" s="5" t="s">
        <v>212</v>
      </c>
      <c r="D37" s="5" t="s">
        <v>213</v>
      </c>
      <c r="E37" s="5"/>
      <c r="F37" s="5" t="s">
        <v>193</v>
      </c>
      <c r="K37" s="15">
        <f>F37*0.87*0.65</f>
        <v>384.54</v>
      </c>
      <c r="L37" s="2">
        <v>53</v>
      </c>
    </row>
    <row r="38" spans="1:12" ht="15">
      <c r="A38" s="3" t="s">
        <v>216</v>
      </c>
      <c r="B38" s="3" t="s">
        <v>387</v>
      </c>
      <c r="C38" s="5" t="s">
        <v>110</v>
      </c>
      <c r="D38" s="5" t="s">
        <v>111</v>
      </c>
      <c r="E38" s="5"/>
      <c r="F38" s="5" t="s">
        <v>217</v>
      </c>
      <c r="K38" s="15">
        <f>F38*0.88*0.93</f>
        <v>434.57040000000006</v>
      </c>
      <c r="L38" s="2">
        <v>54</v>
      </c>
    </row>
    <row r="39" spans="1:12" ht="15">
      <c r="A39" s="3" t="s">
        <v>222</v>
      </c>
      <c r="B39" s="3" t="s">
        <v>388</v>
      </c>
      <c r="C39" s="5" t="s">
        <v>81</v>
      </c>
      <c r="D39" s="5" t="s">
        <v>106</v>
      </c>
      <c r="E39" s="5"/>
      <c r="F39" s="5" t="s">
        <v>223</v>
      </c>
      <c r="K39" s="15">
        <f>F39*0.9*0.92</f>
        <v>521.64</v>
      </c>
      <c r="L39" s="2">
        <v>60</v>
      </c>
    </row>
    <row r="40" spans="1:12" ht="15">
      <c r="A40" s="3" t="s">
        <v>224</v>
      </c>
      <c r="B40" s="3" t="s">
        <v>389</v>
      </c>
      <c r="C40" s="5" t="s">
        <v>206</v>
      </c>
      <c r="D40" s="5" t="s">
        <v>111</v>
      </c>
      <c r="E40" s="5"/>
      <c r="F40" s="5" t="s">
        <v>193</v>
      </c>
      <c r="K40" s="15">
        <f>F40*0.91*0.93</f>
        <v>575.484</v>
      </c>
      <c r="L40" s="2">
        <v>63</v>
      </c>
    </row>
    <row r="41" spans="1:12" ht="15">
      <c r="A41" s="3" t="s">
        <v>194</v>
      </c>
      <c r="B41" s="3" t="s">
        <v>390</v>
      </c>
      <c r="C41" s="5" t="s">
        <v>99</v>
      </c>
      <c r="D41" s="5" t="s">
        <v>81</v>
      </c>
      <c r="E41" s="5"/>
      <c r="F41" s="5" t="s">
        <v>109</v>
      </c>
      <c r="K41" s="15">
        <f>F41*0.27*0.9</f>
        <v>145.8</v>
      </c>
      <c r="L41" s="2">
        <v>54</v>
      </c>
    </row>
    <row r="42" spans="1:12" ht="15">
      <c r="A42" s="3" t="s">
        <v>338</v>
      </c>
      <c r="B42" s="3" t="s">
        <v>391</v>
      </c>
      <c r="C42" s="5" t="s">
        <v>62</v>
      </c>
      <c r="D42" s="5" t="s">
        <v>63</v>
      </c>
      <c r="E42" s="5" t="s">
        <v>64</v>
      </c>
      <c r="F42" s="5" t="s">
        <v>321</v>
      </c>
      <c r="G42" s="2">
        <v>250</v>
      </c>
      <c r="H42" s="2">
        <v>457</v>
      </c>
      <c r="I42" s="15">
        <f>250*0.85*0.85</f>
        <v>180.625</v>
      </c>
      <c r="J42" s="13">
        <f>457*0.9*0.89</f>
        <v>366.057</v>
      </c>
      <c r="K42" s="13">
        <f>AVERAGE(I42:J42)</f>
        <v>273.341</v>
      </c>
      <c r="L42" s="2" t="s">
        <v>322</v>
      </c>
    </row>
    <row r="43" spans="1:11" ht="15">
      <c r="A43" s="3" t="s">
        <v>5</v>
      </c>
      <c r="B43" s="3" t="s">
        <v>392</v>
      </c>
      <c r="C43" s="5" t="s">
        <v>65</v>
      </c>
      <c r="D43" s="5" t="s">
        <v>66</v>
      </c>
      <c r="E43" s="5" t="s">
        <v>67</v>
      </c>
      <c r="F43" s="5" t="s">
        <v>59</v>
      </c>
      <c r="K43" s="15">
        <f>F43*0.86*0.72</f>
        <v>309.59999999999997</v>
      </c>
    </row>
    <row r="44" spans="1:12" ht="15">
      <c r="A44" s="3" t="s">
        <v>305</v>
      </c>
      <c r="B44" s="6" t="s">
        <v>410</v>
      </c>
      <c r="C44" s="5" t="s">
        <v>306</v>
      </c>
      <c r="D44" s="5" t="s">
        <v>81</v>
      </c>
      <c r="E44" s="5" t="s">
        <v>307</v>
      </c>
      <c r="F44" s="5" t="s">
        <v>308</v>
      </c>
      <c r="K44" s="15">
        <f>F44*0.52*0.9</f>
        <v>350.064</v>
      </c>
      <c r="L44" s="2">
        <v>50</v>
      </c>
    </row>
    <row r="45" spans="1:12" ht="15">
      <c r="A45" s="3" t="s">
        <v>187</v>
      </c>
      <c r="B45" s="3" t="s">
        <v>409</v>
      </c>
      <c r="C45" s="5" t="s">
        <v>117</v>
      </c>
      <c r="D45" s="5" t="s">
        <v>81</v>
      </c>
      <c r="E45" s="5"/>
      <c r="F45" s="5" t="s">
        <v>188</v>
      </c>
      <c r="K45" s="15">
        <f>F45*0.23*0.9</f>
        <v>165.6</v>
      </c>
      <c r="L45" s="2">
        <v>50</v>
      </c>
    </row>
    <row r="46" spans="1:8" ht="15">
      <c r="A46" s="3" t="s">
        <v>140</v>
      </c>
      <c r="B46" s="3" t="s">
        <v>408</v>
      </c>
      <c r="C46" s="5" t="s">
        <v>102</v>
      </c>
      <c r="D46" s="5" t="s">
        <v>123</v>
      </c>
      <c r="E46" s="5"/>
      <c r="F46" s="5"/>
      <c r="G46" s="2">
        <v>700</v>
      </c>
      <c r="H46" s="2">
        <v>900</v>
      </c>
    </row>
    <row r="47" spans="1:12" ht="15">
      <c r="A47" s="3" t="s">
        <v>6</v>
      </c>
      <c r="B47" s="3" t="s">
        <v>407</v>
      </c>
      <c r="C47" s="5" t="s">
        <v>68</v>
      </c>
      <c r="D47" s="5" t="s">
        <v>69</v>
      </c>
      <c r="E47" s="5" t="s">
        <v>139</v>
      </c>
      <c r="F47" s="5" t="s">
        <v>49</v>
      </c>
      <c r="G47" s="2">
        <v>500</v>
      </c>
      <c r="H47" s="2">
        <v>750</v>
      </c>
      <c r="I47" s="13">
        <f>400*0.15*0.78</f>
        <v>46.800000000000004</v>
      </c>
      <c r="J47" s="13">
        <f>500*0.18*0.8</f>
        <v>72</v>
      </c>
      <c r="K47" s="13">
        <f>AVERAGE(I47:J47)</f>
        <v>59.400000000000006</v>
      </c>
      <c r="L47" s="2">
        <v>54</v>
      </c>
    </row>
    <row r="48" spans="1:12" ht="15">
      <c r="A48" s="3" t="s">
        <v>197</v>
      </c>
      <c r="B48" s="3" t="s">
        <v>404</v>
      </c>
      <c r="C48" s="5" t="s">
        <v>52</v>
      </c>
      <c r="D48" s="5" t="s">
        <v>172</v>
      </c>
      <c r="E48" s="5"/>
      <c r="F48" s="5" t="s">
        <v>198</v>
      </c>
      <c r="K48" s="13">
        <f>F48*0.18*0.96</f>
        <v>110.59199999999998</v>
      </c>
      <c r="L48" s="2">
        <v>50</v>
      </c>
    </row>
    <row r="49" spans="1:11" ht="15">
      <c r="A49" s="3" t="s">
        <v>7</v>
      </c>
      <c r="B49" s="3" t="s">
        <v>393</v>
      </c>
      <c r="C49" s="5" t="s">
        <v>70</v>
      </c>
      <c r="D49" s="5" t="s">
        <v>71</v>
      </c>
      <c r="E49" s="5" t="s">
        <v>72</v>
      </c>
      <c r="F49" s="5" t="s">
        <v>56</v>
      </c>
      <c r="G49" s="2">
        <v>500</v>
      </c>
      <c r="H49" s="2">
        <v>600</v>
      </c>
      <c r="I49" s="13">
        <f>500*0.24*0.79</f>
        <v>94.80000000000001</v>
      </c>
      <c r="J49" s="13">
        <f>600*0.25*0.79</f>
        <v>118.5</v>
      </c>
      <c r="K49" s="13">
        <f>AVERAGE(I49:J49)</f>
        <v>106.65</v>
      </c>
    </row>
    <row r="50" spans="1:11" ht="15">
      <c r="A50" s="3" t="s">
        <v>8</v>
      </c>
      <c r="B50" s="3" t="s">
        <v>403</v>
      </c>
      <c r="C50" s="5" t="s">
        <v>73</v>
      </c>
      <c r="D50" s="5" t="s">
        <v>74</v>
      </c>
      <c r="E50" s="5" t="s">
        <v>75</v>
      </c>
      <c r="F50" s="5" t="s">
        <v>30</v>
      </c>
      <c r="K50" s="13">
        <f>F50*0.85*0.82</f>
        <v>278.8</v>
      </c>
    </row>
    <row r="51" spans="1:12" ht="15">
      <c r="A51" s="3" t="s">
        <v>339</v>
      </c>
      <c r="B51" s="3" t="s">
        <v>394</v>
      </c>
      <c r="C51" s="5" t="s">
        <v>99</v>
      </c>
      <c r="D51" s="5" t="s">
        <v>81</v>
      </c>
      <c r="E51" s="5"/>
      <c r="F51" s="5" t="s">
        <v>191</v>
      </c>
      <c r="K51" s="13">
        <f>F51*0.27*0.9</f>
        <v>157.95000000000002</v>
      </c>
      <c r="L51" s="2">
        <v>57</v>
      </c>
    </row>
    <row r="52" spans="1:12" ht="15">
      <c r="A52" s="3" t="s">
        <v>226</v>
      </c>
      <c r="B52" s="3" t="s">
        <v>395</v>
      </c>
      <c r="C52" s="5" t="s">
        <v>110</v>
      </c>
      <c r="D52" s="5" t="s">
        <v>172</v>
      </c>
      <c r="E52" s="5"/>
      <c r="F52" s="5" t="s">
        <v>225</v>
      </c>
      <c r="K52" s="13">
        <f>F52*0.88*0.96</f>
        <v>646.272</v>
      </c>
      <c r="L52" s="2">
        <v>63</v>
      </c>
    </row>
    <row r="53" spans="1:12" ht="15">
      <c r="A53" s="3" t="s">
        <v>340</v>
      </c>
      <c r="B53" s="3" t="s">
        <v>396</v>
      </c>
      <c r="C53" s="5" t="s">
        <v>206</v>
      </c>
      <c r="D53" s="5" t="s">
        <v>106</v>
      </c>
      <c r="E53" s="5"/>
      <c r="F53" s="5" t="s">
        <v>109</v>
      </c>
      <c r="K53" s="13">
        <f>F53*0.92*0.92</f>
        <v>507.84000000000003</v>
      </c>
      <c r="L53" s="2">
        <v>63</v>
      </c>
    </row>
    <row r="54" spans="1:12" ht="15">
      <c r="A54" s="3" t="s">
        <v>313</v>
      </c>
      <c r="B54" s="3" t="s">
        <v>397</v>
      </c>
      <c r="C54" s="5" t="s">
        <v>67</v>
      </c>
      <c r="D54" s="5" t="s">
        <v>81</v>
      </c>
      <c r="E54" s="5"/>
      <c r="F54" s="5" t="s">
        <v>314</v>
      </c>
      <c r="K54" s="13">
        <f>F54*0.3*0.9</f>
        <v>164.97</v>
      </c>
      <c r="L54" s="2">
        <v>58</v>
      </c>
    </row>
    <row r="55" spans="1:12" ht="15">
      <c r="A55" s="3" t="s">
        <v>227</v>
      </c>
      <c r="B55" s="3" t="s">
        <v>398</v>
      </c>
      <c r="C55" s="5" t="s">
        <v>206</v>
      </c>
      <c r="D55" s="5" t="s">
        <v>95</v>
      </c>
      <c r="E55" s="5"/>
      <c r="F55" s="5" t="s">
        <v>228</v>
      </c>
      <c r="K55" s="13">
        <f>F55*0.91*0.95</f>
        <v>743.47</v>
      </c>
      <c r="L55" s="2">
        <v>63</v>
      </c>
    </row>
    <row r="56" spans="1:12" ht="15">
      <c r="A56" s="3" t="s">
        <v>229</v>
      </c>
      <c r="B56" s="3" t="s">
        <v>400</v>
      </c>
      <c r="C56" s="2">
        <v>90</v>
      </c>
      <c r="D56" s="2">
        <v>93</v>
      </c>
      <c r="F56" s="2">
        <v>605</v>
      </c>
      <c r="K56" s="13">
        <f>F56*0.9*0.93</f>
        <v>506.38500000000005</v>
      </c>
      <c r="L56" s="2">
        <v>60</v>
      </c>
    </row>
    <row r="57" spans="1:12" ht="15">
      <c r="A57" s="3" t="s">
        <v>230</v>
      </c>
      <c r="B57" s="3" t="s">
        <v>399</v>
      </c>
      <c r="C57" s="2">
        <v>93</v>
      </c>
      <c r="D57" s="2">
        <v>94</v>
      </c>
      <c r="F57" s="2">
        <v>800</v>
      </c>
      <c r="K57" s="13">
        <f>F57*0.93*0.94</f>
        <v>699.36</v>
      </c>
      <c r="L57" s="2">
        <v>60</v>
      </c>
    </row>
    <row r="58" spans="1:12" ht="15">
      <c r="A58" s="3" t="s">
        <v>231</v>
      </c>
      <c r="B58" s="3" t="s">
        <v>401</v>
      </c>
      <c r="C58" s="2">
        <v>87</v>
      </c>
      <c r="D58" s="2">
        <v>93</v>
      </c>
      <c r="F58" s="2">
        <v>670</v>
      </c>
      <c r="K58" s="13">
        <f>F58*0.87*0.93</f>
        <v>542.097</v>
      </c>
      <c r="L58" s="2">
        <v>63</v>
      </c>
    </row>
    <row r="59" spans="1:11" ht="15">
      <c r="A59" s="3" t="s">
        <v>21</v>
      </c>
      <c r="B59" s="6" t="s">
        <v>517</v>
      </c>
      <c r="C59" s="5" t="s">
        <v>115</v>
      </c>
      <c r="D59" s="5" t="s">
        <v>116</v>
      </c>
      <c r="E59" s="5" t="s">
        <v>117</v>
      </c>
      <c r="F59" s="5" t="s">
        <v>59</v>
      </c>
      <c r="I59" s="13">
        <f>F59*0.22*0.93</f>
        <v>102.30000000000001</v>
      </c>
      <c r="J59" s="13">
        <f>F59*0.37*0.96</f>
        <v>177.6</v>
      </c>
      <c r="K59" s="13">
        <f>AVERAGE(I59:J59)</f>
        <v>139.95</v>
      </c>
    </row>
    <row r="60" spans="1:12" ht="15">
      <c r="A60" s="3" t="s">
        <v>273</v>
      </c>
      <c r="B60" s="3" t="s">
        <v>402</v>
      </c>
      <c r="C60" s="2">
        <v>5</v>
      </c>
      <c r="D60" s="2">
        <v>92</v>
      </c>
      <c r="F60" s="2">
        <v>750</v>
      </c>
      <c r="K60" s="13">
        <f>F60*0.05*0.92</f>
        <v>34.5</v>
      </c>
      <c r="L60" s="2">
        <v>53</v>
      </c>
    </row>
    <row r="61" spans="1:12" ht="15">
      <c r="A61" s="3" t="s">
        <v>275</v>
      </c>
      <c r="B61" s="3" t="s">
        <v>405</v>
      </c>
      <c r="C61" s="2">
        <v>5</v>
      </c>
      <c r="D61" s="2">
        <v>89</v>
      </c>
      <c r="F61" s="2">
        <v>740</v>
      </c>
      <c r="K61" s="13">
        <f>F61*0.05*0.89</f>
        <v>32.93</v>
      </c>
      <c r="L61" s="2">
        <v>53</v>
      </c>
    </row>
    <row r="62" spans="1:12" ht="15">
      <c r="A62" s="3" t="s">
        <v>276</v>
      </c>
      <c r="B62" s="3" t="s">
        <v>406</v>
      </c>
      <c r="C62" s="2">
        <v>12</v>
      </c>
      <c r="D62" s="2">
        <v>89</v>
      </c>
      <c r="F62" s="2">
        <v>740</v>
      </c>
      <c r="K62" s="13">
        <f>F62*0.12*0.89</f>
        <v>79.032</v>
      </c>
      <c r="L62" s="2">
        <v>53</v>
      </c>
    </row>
    <row r="63" spans="1:12" ht="15">
      <c r="A63" s="1" t="s">
        <v>9</v>
      </c>
      <c r="B63" s="8" t="s">
        <v>499</v>
      </c>
      <c r="C63" s="10"/>
      <c r="D63" s="10"/>
      <c r="E63" s="10"/>
      <c r="F63" s="10"/>
      <c r="G63" s="10"/>
      <c r="H63" s="10"/>
      <c r="I63" s="18"/>
      <c r="J63" s="18"/>
      <c r="K63" s="19"/>
      <c r="L63" s="11"/>
    </row>
    <row r="64" spans="1:12" ht="15">
      <c r="A64" s="3" t="s">
        <v>354</v>
      </c>
      <c r="B64" s="3" t="s">
        <v>411</v>
      </c>
      <c r="C64" s="2">
        <v>22</v>
      </c>
      <c r="D64" s="2">
        <v>94</v>
      </c>
      <c r="F64" s="2">
        <v>922</v>
      </c>
      <c r="K64" s="13">
        <f>F64*0.22*0.94</f>
        <v>190.6696</v>
      </c>
      <c r="L64" s="2">
        <v>75</v>
      </c>
    </row>
    <row r="65" spans="1:12" ht="15">
      <c r="A65" s="3" t="s">
        <v>355</v>
      </c>
      <c r="B65" s="3" t="s">
        <v>411</v>
      </c>
      <c r="C65" s="2">
        <v>50</v>
      </c>
      <c r="D65" s="2">
        <v>84.5</v>
      </c>
      <c r="F65" s="2">
        <v>400</v>
      </c>
      <c r="K65" s="13">
        <f>F65*0.5*0.845</f>
        <v>169</v>
      </c>
      <c r="L65" s="2">
        <v>63</v>
      </c>
    </row>
    <row r="66" spans="1:11" ht="15">
      <c r="A66" s="3" t="s">
        <v>10</v>
      </c>
      <c r="B66" s="3" t="s">
        <v>453</v>
      </c>
      <c r="C66" s="5" t="s">
        <v>76</v>
      </c>
      <c r="D66" s="5" t="s">
        <v>77</v>
      </c>
      <c r="E66" s="5" t="s">
        <v>144</v>
      </c>
      <c r="F66" s="5" t="s">
        <v>79</v>
      </c>
      <c r="G66" s="2">
        <v>450</v>
      </c>
      <c r="H66" s="2">
        <v>650</v>
      </c>
      <c r="I66" s="13">
        <f>450*0.02*0.94</f>
        <v>8.459999999999999</v>
      </c>
      <c r="J66" s="13">
        <f>500*0.037*0.95</f>
        <v>17.575</v>
      </c>
      <c r="K66" s="13">
        <f>AVERAGE(I66:J66)</f>
        <v>13.017499999999998</v>
      </c>
    </row>
    <row r="67" spans="1:11" ht="15">
      <c r="A67" s="3" t="s">
        <v>11</v>
      </c>
      <c r="B67" s="3" t="s">
        <v>452</v>
      </c>
      <c r="C67" s="5" t="s">
        <v>80</v>
      </c>
      <c r="D67" s="5" t="s">
        <v>81</v>
      </c>
      <c r="E67" s="5" t="s">
        <v>145</v>
      </c>
      <c r="F67" s="5" t="s">
        <v>82</v>
      </c>
      <c r="G67" s="2">
        <v>400</v>
      </c>
      <c r="H67" s="2">
        <v>700</v>
      </c>
      <c r="I67" s="13">
        <f>430*0.12*0.9</f>
        <v>46.440000000000005</v>
      </c>
      <c r="J67" s="13">
        <f>500*0.15*0.9</f>
        <v>67.5</v>
      </c>
      <c r="K67" s="13">
        <f>AVERAGE(I67:J67)</f>
        <v>56.97</v>
      </c>
    </row>
    <row r="68" spans="1:8" ht="15">
      <c r="A68" s="3" t="s">
        <v>341</v>
      </c>
      <c r="B68" s="3" t="s">
        <v>451</v>
      </c>
      <c r="C68" s="5" t="s">
        <v>146</v>
      </c>
      <c r="D68" s="5" t="s">
        <v>147</v>
      </c>
      <c r="E68" s="5" t="s">
        <v>148</v>
      </c>
      <c r="F68" s="5"/>
      <c r="G68" s="2">
        <v>600</v>
      </c>
      <c r="H68" s="2">
        <v>800</v>
      </c>
    </row>
    <row r="69" spans="1:12" ht="15">
      <c r="A69" s="3" t="s">
        <v>12</v>
      </c>
      <c r="B69" s="3" t="s">
        <v>450</v>
      </c>
      <c r="C69" s="5" t="s">
        <v>218</v>
      </c>
      <c r="D69" s="5" t="s">
        <v>83</v>
      </c>
      <c r="E69" s="5"/>
      <c r="F69" s="5" t="s">
        <v>219</v>
      </c>
      <c r="G69" s="2">
        <v>400</v>
      </c>
      <c r="H69" s="2">
        <v>640</v>
      </c>
      <c r="I69" s="13">
        <f>400*0.03*0.96</f>
        <v>11.52</v>
      </c>
      <c r="J69" s="13">
        <f>640*0.08*0.9</f>
        <v>46.080000000000005</v>
      </c>
      <c r="K69" s="13">
        <f>AVERAGE(I69:J69)</f>
        <v>28.800000000000004</v>
      </c>
      <c r="L69" s="2">
        <v>59</v>
      </c>
    </row>
    <row r="70" spans="1:11" ht="15">
      <c r="A70" s="3" t="s">
        <v>13</v>
      </c>
      <c r="B70" s="3" t="s">
        <v>454</v>
      </c>
      <c r="C70" s="5" t="s">
        <v>84</v>
      </c>
      <c r="D70" s="5" t="s">
        <v>85</v>
      </c>
      <c r="E70" s="5"/>
      <c r="F70" s="5" t="s">
        <v>132</v>
      </c>
      <c r="G70" s="2">
        <v>400</v>
      </c>
      <c r="H70" s="2">
        <v>550</v>
      </c>
      <c r="K70" s="13">
        <f>400*0.105*0.712</f>
        <v>29.904</v>
      </c>
    </row>
    <row r="71" spans="1:12" ht="15">
      <c r="A71" s="3" t="s">
        <v>141</v>
      </c>
      <c r="B71" s="3" t="s">
        <v>455</v>
      </c>
      <c r="C71" s="2">
        <v>25</v>
      </c>
      <c r="D71" s="2">
        <v>79</v>
      </c>
      <c r="E71" s="2" t="s">
        <v>142</v>
      </c>
      <c r="G71" s="2">
        <v>550</v>
      </c>
      <c r="H71" s="2">
        <v>700</v>
      </c>
      <c r="L71" s="2">
        <v>51.5</v>
      </c>
    </row>
    <row r="72" spans="1:12" ht="15">
      <c r="A72" s="3" t="s">
        <v>210</v>
      </c>
      <c r="B72" s="3" t="s">
        <v>412</v>
      </c>
      <c r="C72" s="5" t="s">
        <v>175</v>
      </c>
      <c r="D72" s="5" t="s">
        <v>81</v>
      </c>
      <c r="E72" s="5"/>
      <c r="F72" s="5" t="s">
        <v>189</v>
      </c>
      <c r="K72" s="13">
        <f>F72*0.22*0.9</f>
        <v>150.48</v>
      </c>
      <c r="L72" s="2">
        <v>51</v>
      </c>
    </row>
    <row r="73" spans="1:12" ht="15">
      <c r="A73" s="3" t="s">
        <v>209</v>
      </c>
      <c r="B73" s="3" t="s">
        <v>456</v>
      </c>
      <c r="C73" s="5" t="s">
        <v>81</v>
      </c>
      <c r="D73" s="5" t="s">
        <v>172</v>
      </c>
      <c r="E73" s="5"/>
      <c r="F73" s="5" t="s">
        <v>195</v>
      </c>
      <c r="K73" s="13">
        <f>F73*0.9*0.96</f>
        <v>535.68</v>
      </c>
      <c r="L73" s="2">
        <v>50</v>
      </c>
    </row>
    <row r="74" spans="1:12" ht="15">
      <c r="A74" s="3" t="s">
        <v>208</v>
      </c>
      <c r="B74" s="3" t="s">
        <v>413</v>
      </c>
      <c r="C74" s="5" t="s">
        <v>78</v>
      </c>
      <c r="D74" s="5" t="s">
        <v>65</v>
      </c>
      <c r="E74" s="5"/>
      <c r="F74" s="5" t="s">
        <v>196</v>
      </c>
      <c r="K74" s="13">
        <f>F74*0.06*0.86</f>
        <v>34.571999999999996</v>
      </c>
      <c r="L74" s="2">
        <v>56</v>
      </c>
    </row>
    <row r="75" spans="1:12" ht="15">
      <c r="A75" s="3" t="s">
        <v>199</v>
      </c>
      <c r="B75" s="3" t="s">
        <v>457</v>
      </c>
      <c r="C75" s="5" t="s">
        <v>110</v>
      </c>
      <c r="D75" s="5" t="s">
        <v>200</v>
      </c>
      <c r="E75" s="5"/>
      <c r="F75" s="5" t="s">
        <v>201</v>
      </c>
      <c r="K75" s="13">
        <f>F75*0.88*0.94</f>
        <v>603.856</v>
      </c>
      <c r="L75" s="2">
        <v>50</v>
      </c>
    </row>
    <row r="76" spans="1:12" ht="15">
      <c r="A76" s="3" t="s">
        <v>204</v>
      </c>
      <c r="B76" s="3" t="s">
        <v>458</v>
      </c>
      <c r="C76" s="5" t="s">
        <v>205</v>
      </c>
      <c r="D76" s="5" t="s">
        <v>206</v>
      </c>
      <c r="E76" s="5"/>
      <c r="F76" s="5" t="s">
        <v>191</v>
      </c>
      <c r="K76" s="13">
        <f>F76*0.1*0.91</f>
        <v>59.15</v>
      </c>
      <c r="L76" s="2">
        <v>51</v>
      </c>
    </row>
    <row r="77" spans="1:12" ht="15">
      <c r="A77" s="3" t="s">
        <v>207</v>
      </c>
      <c r="B77" s="3" t="s">
        <v>459</v>
      </c>
      <c r="C77" s="5" t="s">
        <v>202</v>
      </c>
      <c r="D77" s="5" t="s">
        <v>203</v>
      </c>
      <c r="E77" s="5"/>
      <c r="F77" s="5" t="s">
        <v>188</v>
      </c>
      <c r="K77" s="13">
        <f>F77*0.83*0.99</f>
        <v>657.36</v>
      </c>
      <c r="L77" s="2">
        <v>50</v>
      </c>
    </row>
    <row r="78" spans="1:12" ht="15">
      <c r="A78" s="3" t="s">
        <v>288</v>
      </c>
      <c r="B78" s="3" t="s">
        <v>460</v>
      </c>
      <c r="C78" s="5" t="s">
        <v>60</v>
      </c>
      <c r="D78" s="5" t="s">
        <v>51</v>
      </c>
      <c r="E78" s="5"/>
      <c r="F78" s="5" t="s">
        <v>254</v>
      </c>
      <c r="K78" s="13">
        <f>F78*0.2*0.75</f>
        <v>105</v>
      </c>
      <c r="L78" s="2">
        <v>51</v>
      </c>
    </row>
    <row r="79" spans="1:12" ht="15">
      <c r="A79" s="3" t="s">
        <v>289</v>
      </c>
      <c r="B79" s="3" t="s">
        <v>461</v>
      </c>
      <c r="C79" s="5" t="s">
        <v>206</v>
      </c>
      <c r="D79" s="5" t="s">
        <v>200</v>
      </c>
      <c r="E79" s="5"/>
      <c r="F79" s="5" t="s">
        <v>215</v>
      </c>
      <c r="K79" s="13">
        <f>F79*0.91*0.94</f>
        <v>641.55</v>
      </c>
      <c r="L79" s="2">
        <v>50</v>
      </c>
    </row>
    <row r="80" spans="1:12" ht="15">
      <c r="A80" s="3" t="s">
        <v>290</v>
      </c>
      <c r="B80" s="3" t="s">
        <v>462</v>
      </c>
      <c r="C80" s="5" t="s">
        <v>172</v>
      </c>
      <c r="D80" s="5" t="s">
        <v>203</v>
      </c>
      <c r="E80" s="5"/>
      <c r="F80" s="5" t="s">
        <v>291</v>
      </c>
      <c r="K80" s="13">
        <f>F80*0.95*0.99</f>
        <v>771.21</v>
      </c>
      <c r="L80" s="2">
        <v>50</v>
      </c>
    </row>
    <row r="81" spans="1:12" ht="15">
      <c r="A81" s="3" t="s">
        <v>342</v>
      </c>
      <c r="B81" s="3" t="s">
        <v>463</v>
      </c>
      <c r="C81" s="5" t="s">
        <v>70</v>
      </c>
      <c r="D81" s="5" t="s">
        <v>111</v>
      </c>
      <c r="E81" s="5"/>
      <c r="F81" s="5" t="s">
        <v>254</v>
      </c>
      <c r="K81" s="13">
        <f>F81*0.25*0.93</f>
        <v>162.75</v>
      </c>
      <c r="L81" s="2">
        <v>51</v>
      </c>
    </row>
    <row r="82" spans="1:12" ht="15">
      <c r="A82" s="3" t="s">
        <v>356</v>
      </c>
      <c r="B82" s="3" t="s">
        <v>414</v>
      </c>
      <c r="C82" s="5"/>
      <c r="D82" s="5"/>
      <c r="E82" s="5"/>
      <c r="F82" s="5"/>
      <c r="G82" s="2">
        <v>660</v>
      </c>
      <c r="H82" s="2">
        <v>680</v>
      </c>
      <c r="L82" s="2">
        <v>68</v>
      </c>
    </row>
    <row r="83" spans="1:12" ht="15">
      <c r="A83" s="3" t="s">
        <v>14</v>
      </c>
      <c r="B83" s="3" t="s">
        <v>464</v>
      </c>
      <c r="C83" s="5" t="s">
        <v>235</v>
      </c>
      <c r="D83" s="5" t="s">
        <v>236</v>
      </c>
      <c r="E83" s="5" t="s">
        <v>67</v>
      </c>
      <c r="F83" s="5" t="s">
        <v>86</v>
      </c>
      <c r="G83" s="2">
        <v>350</v>
      </c>
      <c r="H83" s="2">
        <v>550</v>
      </c>
      <c r="I83" s="13">
        <f>350*0.22*0.86</f>
        <v>66.22</v>
      </c>
      <c r="J83" s="13">
        <f>550*0.25*0.97</f>
        <v>133.375</v>
      </c>
      <c r="K83" s="13">
        <f>AVERAGE(I83:J83)</f>
        <v>99.7975</v>
      </c>
      <c r="L83" s="2">
        <v>51</v>
      </c>
    </row>
    <row r="84" spans="1:11" ht="15">
      <c r="A84" s="3" t="s">
        <v>15</v>
      </c>
      <c r="B84" s="3" t="s">
        <v>465</v>
      </c>
      <c r="C84" s="5" t="s">
        <v>87</v>
      </c>
      <c r="D84" s="5" t="s">
        <v>88</v>
      </c>
      <c r="E84" s="5" t="s">
        <v>89</v>
      </c>
      <c r="F84" s="5" t="s">
        <v>79</v>
      </c>
      <c r="G84" s="2">
        <v>450</v>
      </c>
      <c r="H84" s="2">
        <v>500</v>
      </c>
      <c r="I84" s="13">
        <f>450*0.4*0.3</f>
        <v>54</v>
      </c>
      <c r="J84" s="13">
        <f>500*0.5*0.93</f>
        <v>232.5</v>
      </c>
      <c r="K84" s="13">
        <f>AVERAGE(I84:J84)</f>
        <v>143.25</v>
      </c>
    </row>
    <row r="85" spans="1:12" ht="15">
      <c r="A85" s="3" t="s">
        <v>303</v>
      </c>
      <c r="B85" s="3" t="s">
        <v>466</v>
      </c>
      <c r="C85" s="5" t="s">
        <v>251</v>
      </c>
      <c r="D85" s="5" t="s">
        <v>250</v>
      </c>
      <c r="E85" s="5" t="s">
        <v>91</v>
      </c>
      <c r="F85" s="5" t="s">
        <v>252</v>
      </c>
      <c r="I85" s="13">
        <f>260*0.28*0.75</f>
        <v>54.60000000000001</v>
      </c>
      <c r="J85" s="13">
        <f>260*0.5*0.95</f>
        <v>123.5</v>
      </c>
      <c r="K85" s="13">
        <f>AVERAGE(I85:J85)</f>
        <v>89.05000000000001</v>
      </c>
      <c r="L85" s="2">
        <v>56</v>
      </c>
    </row>
    <row r="86" spans="1:12" ht="15">
      <c r="A86" s="3" t="s">
        <v>92</v>
      </c>
      <c r="B86" s="3" t="s">
        <v>467</v>
      </c>
      <c r="C86" s="5" t="s">
        <v>283</v>
      </c>
      <c r="D86" s="5" t="s">
        <v>93</v>
      </c>
      <c r="E86" s="5" t="s">
        <v>94</v>
      </c>
      <c r="F86" s="5" t="s">
        <v>59</v>
      </c>
      <c r="G86" s="2">
        <v>500</v>
      </c>
      <c r="H86" s="2">
        <v>520</v>
      </c>
      <c r="I86" s="13">
        <f>500*0.21*0.66</f>
        <v>69.3</v>
      </c>
      <c r="J86" s="13">
        <f>500*0.9*0.95</f>
        <v>427.5</v>
      </c>
      <c r="K86" s="13">
        <f>AVERAGE(I86:J86)</f>
        <v>248.4</v>
      </c>
      <c r="L86" s="2">
        <v>59</v>
      </c>
    </row>
    <row r="87" spans="1:12" ht="15">
      <c r="A87" s="3" t="s">
        <v>343</v>
      </c>
      <c r="B87" s="3" t="s">
        <v>468</v>
      </c>
      <c r="C87" s="5" t="s">
        <v>286</v>
      </c>
      <c r="D87" s="5" t="s">
        <v>95</v>
      </c>
      <c r="E87" s="5"/>
      <c r="F87" s="5" t="s">
        <v>177</v>
      </c>
      <c r="K87" s="13">
        <f>550*0.26*0.95</f>
        <v>135.85</v>
      </c>
      <c r="L87" s="2">
        <v>59</v>
      </c>
    </row>
    <row r="88" spans="1:12" ht="15">
      <c r="A88" s="3" t="s">
        <v>282</v>
      </c>
      <c r="B88" s="3" t="s">
        <v>469</v>
      </c>
      <c r="C88" s="2">
        <v>90</v>
      </c>
      <c r="D88" s="2">
        <v>90</v>
      </c>
      <c r="F88" s="2">
        <v>610</v>
      </c>
      <c r="K88" s="13">
        <f>F88*0.9*0.9</f>
        <v>494.1</v>
      </c>
      <c r="L88" s="2">
        <v>61</v>
      </c>
    </row>
    <row r="89" spans="1:12" ht="15">
      <c r="A89" s="3" t="s">
        <v>284</v>
      </c>
      <c r="B89" s="3" t="s">
        <v>470</v>
      </c>
      <c r="C89" s="2">
        <v>10</v>
      </c>
      <c r="D89" s="2">
        <v>91</v>
      </c>
      <c r="F89" s="2">
        <v>660</v>
      </c>
      <c r="K89" s="13">
        <f>F89*0.1*0.91</f>
        <v>60.06</v>
      </c>
      <c r="L89" s="2">
        <v>62</v>
      </c>
    </row>
    <row r="90" spans="1:12" ht="15">
      <c r="A90" s="3" t="s">
        <v>285</v>
      </c>
      <c r="B90" s="3" t="s">
        <v>471</v>
      </c>
      <c r="C90" s="2">
        <v>25</v>
      </c>
      <c r="D90" s="2">
        <v>95</v>
      </c>
      <c r="F90" s="2">
        <v>660</v>
      </c>
      <c r="K90" s="13">
        <f>F90*0.25*0.95</f>
        <v>156.75</v>
      </c>
      <c r="L90" s="2">
        <v>62</v>
      </c>
    </row>
    <row r="91" spans="1:12" ht="15">
      <c r="A91" s="3" t="s">
        <v>287</v>
      </c>
      <c r="B91" s="3" t="s">
        <v>472</v>
      </c>
      <c r="C91" s="2">
        <v>92</v>
      </c>
      <c r="D91" s="2">
        <v>93</v>
      </c>
      <c r="F91" s="2">
        <v>610</v>
      </c>
      <c r="K91" s="13">
        <f>F91*0.92*0.93</f>
        <v>521.916</v>
      </c>
      <c r="L91" s="2">
        <v>57</v>
      </c>
    </row>
    <row r="92" spans="1:12" ht="15">
      <c r="A92" s="3" t="s">
        <v>16</v>
      </c>
      <c r="B92" s="3" t="s">
        <v>454</v>
      </c>
      <c r="C92" s="5" t="s">
        <v>292</v>
      </c>
      <c r="D92" s="5" t="s">
        <v>155</v>
      </c>
      <c r="E92" s="5" t="s">
        <v>96</v>
      </c>
      <c r="F92" s="5" t="s">
        <v>37</v>
      </c>
      <c r="G92" s="2">
        <v>450</v>
      </c>
      <c r="H92" s="2">
        <v>700</v>
      </c>
      <c r="I92" s="13">
        <f>F92*0.77*0.9</f>
        <v>311.85</v>
      </c>
      <c r="J92" s="13">
        <f>F92*0.8*0.95</f>
        <v>342</v>
      </c>
      <c r="K92" s="13">
        <f>AVERAGE(I92:J92)</f>
        <v>326.925</v>
      </c>
      <c r="L92" s="2">
        <v>52</v>
      </c>
    </row>
    <row r="93" spans="1:12" ht="15">
      <c r="A93" s="3" t="s">
        <v>293</v>
      </c>
      <c r="B93" s="3" t="s">
        <v>473</v>
      </c>
      <c r="C93" s="5" t="s">
        <v>81</v>
      </c>
      <c r="D93" s="5" t="s">
        <v>106</v>
      </c>
      <c r="E93" s="5"/>
      <c r="F93" s="5" t="s">
        <v>193</v>
      </c>
      <c r="K93" s="13">
        <f>F93*0.9*0.92</f>
        <v>563.0400000000001</v>
      </c>
      <c r="L93" s="2">
        <v>51</v>
      </c>
    </row>
    <row r="94" spans="1:12" ht="15">
      <c r="A94" s="3" t="s">
        <v>278</v>
      </c>
      <c r="B94" s="3" t="s">
        <v>474</v>
      </c>
      <c r="C94" s="2">
        <v>65</v>
      </c>
      <c r="D94" s="2">
        <v>97</v>
      </c>
      <c r="F94" s="2">
        <v>760</v>
      </c>
      <c r="K94" s="13">
        <f>F94*0.65*0.97</f>
        <v>479.18</v>
      </c>
      <c r="L94" s="2">
        <v>53</v>
      </c>
    </row>
    <row r="95" spans="1:12" ht="15">
      <c r="A95" s="3" t="s">
        <v>237</v>
      </c>
      <c r="B95" s="3" t="s">
        <v>475</v>
      </c>
      <c r="C95" s="5" t="s">
        <v>102</v>
      </c>
      <c r="D95" s="5" t="s">
        <v>95</v>
      </c>
      <c r="E95" s="5"/>
      <c r="F95" s="5" t="s">
        <v>193</v>
      </c>
      <c r="K95" s="13">
        <f>F95*0.15*0.95</f>
        <v>96.89999999999999</v>
      </c>
      <c r="L95" s="2">
        <v>53</v>
      </c>
    </row>
    <row r="96" spans="1:12" ht="15">
      <c r="A96" s="3" t="s">
        <v>344</v>
      </c>
      <c r="B96" s="3" t="s">
        <v>476</v>
      </c>
      <c r="C96" s="5" t="s">
        <v>110</v>
      </c>
      <c r="D96" s="5" t="s">
        <v>95</v>
      </c>
      <c r="E96" s="5"/>
      <c r="F96" s="5" t="s">
        <v>238</v>
      </c>
      <c r="K96" s="13">
        <f>F96*0.88*0.95</f>
        <v>618.64</v>
      </c>
      <c r="L96" s="2">
        <v>50</v>
      </c>
    </row>
    <row r="97" spans="1:12" ht="15">
      <c r="A97" s="3" t="s">
        <v>239</v>
      </c>
      <c r="B97" s="3" t="s">
        <v>415</v>
      </c>
      <c r="C97" s="5" t="s">
        <v>61</v>
      </c>
      <c r="D97" s="5" t="s">
        <v>110</v>
      </c>
      <c r="E97" s="5"/>
      <c r="F97" s="5" t="s">
        <v>189</v>
      </c>
      <c r="K97" s="13">
        <f>F97*0.12*0.88</f>
        <v>80.256</v>
      </c>
      <c r="L97" s="2">
        <v>52</v>
      </c>
    </row>
    <row r="98" spans="1:12" ht="15">
      <c r="A98" s="3" t="s">
        <v>240</v>
      </c>
      <c r="B98" s="3" t="s">
        <v>416</v>
      </c>
      <c r="C98" s="5" t="s">
        <v>81</v>
      </c>
      <c r="D98" s="5" t="s">
        <v>106</v>
      </c>
      <c r="E98" s="5"/>
      <c r="F98" s="5" t="s">
        <v>241</v>
      </c>
      <c r="K98" s="13">
        <f>F98*0.9*0.92</f>
        <v>339.48</v>
      </c>
      <c r="L98" s="2">
        <v>55</v>
      </c>
    </row>
    <row r="99" spans="1:12" ht="15">
      <c r="A99" s="3" t="s">
        <v>242</v>
      </c>
      <c r="B99" s="3" t="s">
        <v>417</v>
      </c>
      <c r="C99" s="5" t="s">
        <v>243</v>
      </c>
      <c r="D99" s="5" t="s">
        <v>47</v>
      </c>
      <c r="E99" s="5"/>
      <c r="F99" s="5" t="s">
        <v>196</v>
      </c>
      <c r="K99" s="13">
        <f>F99*0.11*0.8</f>
        <v>58.96000000000001</v>
      </c>
      <c r="L99" s="2">
        <v>56</v>
      </c>
    </row>
    <row r="100" spans="1:12" ht="15">
      <c r="A100" s="3" t="s">
        <v>150</v>
      </c>
      <c r="B100" s="3" t="s">
        <v>420</v>
      </c>
      <c r="C100" s="5" t="s">
        <v>149</v>
      </c>
      <c r="D100" s="5" t="s">
        <v>111</v>
      </c>
      <c r="E100" s="5" t="s">
        <v>75</v>
      </c>
      <c r="F100" s="5"/>
      <c r="G100" s="2">
        <v>500</v>
      </c>
      <c r="H100" s="2">
        <v>620</v>
      </c>
      <c r="L100" s="2">
        <v>52</v>
      </c>
    </row>
    <row r="101" spans="1:12" ht="15">
      <c r="A101" s="3" t="s">
        <v>151</v>
      </c>
      <c r="B101" s="3" t="s">
        <v>421</v>
      </c>
      <c r="C101" s="5" t="s">
        <v>133</v>
      </c>
      <c r="D101" s="5" t="s">
        <v>101</v>
      </c>
      <c r="E101" s="5" t="s">
        <v>102</v>
      </c>
      <c r="F101" s="5" t="s">
        <v>103</v>
      </c>
      <c r="G101" s="2">
        <v>500</v>
      </c>
      <c r="H101" s="2">
        <v>620</v>
      </c>
      <c r="I101" s="13">
        <f>400*0.1*0.76</f>
        <v>30.4</v>
      </c>
      <c r="J101" s="13">
        <f>600*0.2*0.9</f>
        <v>108</v>
      </c>
      <c r="K101" s="13">
        <f>AVERAGE(I101:J101)</f>
        <v>69.2</v>
      </c>
      <c r="L101" s="2">
        <v>55</v>
      </c>
    </row>
    <row r="102" spans="1:11" ht="15">
      <c r="A102" s="3" t="s">
        <v>18</v>
      </c>
      <c r="B102" s="3" t="s">
        <v>424</v>
      </c>
      <c r="C102" s="5" t="s">
        <v>104</v>
      </c>
      <c r="D102" s="5" t="s">
        <v>105</v>
      </c>
      <c r="E102" s="5" t="s">
        <v>48</v>
      </c>
      <c r="F102" s="5" t="s">
        <v>30</v>
      </c>
      <c r="K102" s="13">
        <f>F102*0.53*0.55</f>
        <v>116.60000000000001</v>
      </c>
    </row>
    <row r="103" spans="1:11" ht="15">
      <c r="A103" s="3" t="s">
        <v>345</v>
      </c>
      <c r="B103" s="3" t="s">
        <v>423</v>
      </c>
      <c r="C103" s="5" t="s">
        <v>106</v>
      </c>
      <c r="D103" s="5" t="s">
        <v>107</v>
      </c>
      <c r="E103" s="5" t="s">
        <v>108</v>
      </c>
      <c r="F103" s="5" t="s">
        <v>109</v>
      </c>
      <c r="K103" s="13">
        <f>F103*0.92*0.97</f>
        <v>535.4399999999999</v>
      </c>
    </row>
    <row r="104" spans="1:11" ht="15">
      <c r="A104" s="3" t="s">
        <v>19</v>
      </c>
      <c r="B104" s="3" t="s">
        <v>422</v>
      </c>
      <c r="C104" s="5" t="s">
        <v>110</v>
      </c>
      <c r="D104" s="5" t="s">
        <v>111</v>
      </c>
      <c r="E104" s="5" t="s">
        <v>112</v>
      </c>
      <c r="F104" s="5" t="s">
        <v>56</v>
      </c>
      <c r="G104" s="2">
        <v>500</v>
      </c>
      <c r="H104" s="2">
        <v>600</v>
      </c>
      <c r="I104" s="13">
        <f>500*0.88*0.93</f>
        <v>409.20000000000005</v>
      </c>
      <c r="J104" s="13">
        <f>600*0.88*0.93</f>
        <v>491.04</v>
      </c>
      <c r="K104" s="13">
        <f>AVERAGE(I104:J104)</f>
        <v>450.12</v>
      </c>
    </row>
    <row r="105" spans="1:12" ht="15">
      <c r="A105" s="3" t="s">
        <v>220</v>
      </c>
      <c r="B105" s="3" t="s">
        <v>419</v>
      </c>
      <c r="C105" s="5" t="s">
        <v>110</v>
      </c>
      <c r="D105" s="5" t="s">
        <v>95</v>
      </c>
      <c r="E105" s="5"/>
      <c r="F105" s="5" t="s">
        <v>221</v>
      </c>
      <c r="K105" s="13">
        <f>F105*0.88*0.95</f>
        <v>702.24</v>
      </c>
      <c r="L105" s="2">
        <v>65</v>
      </c>
    </row>
    <row r="106" spans="1:8" ht="15">
      <c r="A106" s="3" t="s">
        <v>152</v>
      </c>
      <c r="B106" s="3" t="s">
        <v>425</v>
      </c>
      <c r="C106" s="2">
        <v>88</v>
      </c>
      <c r="D106" s="2">
        <v>93</v>
      </c>
      <c r="E106" s="2">
        <v>8</v>
      </c>
      <c r="F106" s="4"/>
      <c r="G106" s="2">
        <v>550</v>
      </c>
      <c r="H106" s="2">
        <v>760</v>
      </c>
    </row>
    <row r="107" spans="1:12" ht="15">
      <c r="A107" s="3" t="s">
        <v>214</v>
      </c>
      <c r="B107" s="3" t="s">
        <v>426</v>
      </c>
      <c r="C107" s="5" t="s">
        <v>212</v>
      </c>
      <c r="D107" s="5" t="s">
        <v>107</v>
      </c>
      <c r="E107" s="5"/>
      <c r="F107" s="5" t="s">
        <v>215</v>
      </c>
      <c r="K107" s="13">
        <f>F107*0.87*0.97</f>
        <v>632.925</v>
      </c>
      <c r="L107" s="2">
        <v>52</v>
      </c>
    </row>
    <row r="108" spans="1:12" ht="15">
      <c r="A108" s="3" t="s">
        <v>233</v>
      </c>
      <c r="B108" s="3" t="s">
        <v>427</v>
      </c>
      <c r="C108" s="5" t="s">
        <v>81</v>
      </c>
      <c r="D108" s="5" t="s">
        <v>200</v>
      </c>
      <c r="E108" s="5"/>
      <c r="F108" s="5" t="s">
        <v>198</v>
      </c>
      <c r="K108" s="13">
        <f>F108*0.9*0.94</f>
        <v>541.4399999999999</v>
      </c>
      <c r="L108" s="2">
        <v>66</v>
      </c>
    </row>
    <row r="109" spans="1:12" ht="15">
      <c r="A109" s="3" t="s">
        <v>234</v>
      </c>
      <c r="B109" s="3" t="s">
        <v>428</v>
      </c>
      <c r="C109" s="5" t="s">
        <v>212</v>
      </c>
      <c r="D109" s="5" t="s">
        <v>172</v>
      </c>
      <c r="E109" s="5"/>
      <c r="F109" s="5" t="s">
        <v>189</v>
      </c>
      <c r="K109" s="13">
        <f>F109*0.87*0.96</f>
        <v>634.7520000000001</v>
      </c>
      <c r="L109" s="2">
        <v>56</v>
      </c>
    </row>
    <row r="110" spans="1:12" ht="15">
      <c r="A110" s="3" t="s">
        <v>248</v>
      </c>
      <c r="B110" s="3" t="s">
        <v>429</v>
      </c>
      <c r="C110" s="5" t="s">
        <v>249</v>
      </c>
      <c r="D110" s="5" t="s">
        <v>106</v>
      </c>
      <c r="E110" s="5"/>
      <c r="F110" s="5" t="s">
        <v>193</v>
      </c>
      <c r="K110" s="13">
        <f>F110*0.13*0.92</f>
        <v>81.328</v>
      </c>
      <c r="L110" s="2">
        <v>53</v>
      </c>
    </row>
    <row r="111" spans="1:12" ht="15">
      <c r="A111" s="3" t="s">
        <v>163</v>
      </c>
      <c r="B111" s="3" t="s">
        <v>430</v>
      </c>
      <c r="C111" s="5" t="s">
        <v>161</v>
      </c>
      <c r="D111" s="5" t="s">
        <v>162</v>
      </c>
      <c r="E111" s="5" t="s">
        <v>114</v>
      </c>
      <c r="F111" s="5"/>
      <c r="G111" s="2">
        <v>300</v>
      </c>
      <c r="H111" s="2">
        <v>600</v>
      </c>
      <c r="L111" s="2">
        <v>54</v>
      </c>
    </row>
    <row r="112" spans="1:12" ht="15">
      <c r="A112" s="3" t="s">
        <v>269</v>
      </c>
      <c r="B112" s="3" t="s">
        <v>418</v>
      </c>
      <c r="C112" s="5" t="s">
        <v>249</v>
      </c>
      <c r="D112" s="5" t="s">
        <v>95</v>
      </c>
      <c r="E112" s="5"/>
      <c r="F112" s="5" t="s">
        <v>270</v>
      </c>
      <c r="K112" s="13">
        <f>F112*0.13*0.95</f>
        <v>111.14999999999999</v>
      </c>
      <c r="L112" s="2">
        <v>62</v>
      </c>
    </row>
    <row r="113" spans="1:11" ht="15">
      <c r="A113" s="3" t="s">
        <v>17</v>
      </c>
      <c r="B113" s="3" t="s">
        <v>431</v>
      </c>
      <c r="C113" s="5" t="s">
        <v>97</v>
      </c>
      <c r="D113" s="5" t="s">
        <v>98</v>
      </c>
      <c r="E113" s="5" t="s">
        <v>99</v>
      </c>
      <c r="F113" s="5" t="s">
        <v>100</v>
      </c>
      <c r="G113" s="2">
        <v>800</v>
      </c>
      <c r="H113" s="2">
        <v>900</v>
      </c>
      <c r="I113" s="13">
        <f>800*0.043*0.8</f>
        <v>27.52</v>
      </c>
      <c r="J113" s="13">
        <f>900*0.065*0.92</f>
        <v>53.82</v>
      </c>
      <c r="K113" s="13">
        <f>AVERAGE(I113:J113)</f>
        <v>40.67</v>
      </c>
    </row>
    <row r="114" spans="1:12" ht="15">
      <c r="A114" s="3" t="s">
        <v>271</v>
      </c>
      <c r="B114" s="3" t="s">
        <v>432</v>
      </c>
      <c r="C114" s="5" t="s">
        <v>206</v>
      </c>
      <c r="D114" s="5" t="s">
        <v>107</v>
      </c>
      <c r="E114" s="5"/>
      <c r="F114" s="5" t="s">
        <v>272</v>
      </c>
      <c r="K114" s="13">
        <f>F114*0.91*0.97</f>
        <v>635.544</v>
      </c>
      <c r="L114" s="2">
        <v>57</v>
      </c>
    </row>
    <row r="115" spans="1:12" ht="15">
      <c r="A115" s="3" t="s">
        <v>274</v>
      </c>
      <c r="B115" s="3" t="s">
        <v>433</v>
      </c>
      <c r="C115" s="5" t="s">
        <v>112</v>
      </c>
      <c r="D115" s="5" t="s">
        <v>106</v>
      </c>
      <c r="E115" s="5"/>
      <c r="F115" s="5" t="s">
        <v>201</v>
      </c>
      <c r="K115" s="13">
        <f>F115*0.08*0.92</f>
        <v>53.728</v>
      </c>
      <c r="L115" s="2">
        <v>59</v>
      </c>
    </row>
    <row r="116" spans="1:12" ht="15">
      <c r="A116" s="3" t="s">
        <v>277</v>
      </c>
      <c r="B116" s="3" t="s">
        <v>434</v>
      </c>
      <c r="C116" s="5" t="s">
        <v>175</v>
      </c>
      <c r="D116" s="5" t="s">
        <v>95</v>
      </c>
      <c r="E116" s="5"/>
      <c r="F116" s="5" t="s">
        <v>196</v>
      </c>
      <c r="K116" s="13">
        <f>F116*0.22*0.95</f>
        <v>140.03</v>
      </c>
      <c r="L116" s="2">
        <v>69</v>
      </c>
    </row>
    <row r="117" spans="1:12" ht="15">
      <c r="A117" s="3" t="s">
        <v>346</v>
      </c>
      <c r="B117" s="3" t="s">
        <v>435</v>
      </c>
      <c r="C117" s="5" t="s">
        <v>71</v>
      </c>
      <c r="D117" s="5" t="s">
        <v>200</v>
      </c>
      <c r="E117" s="5"/>
      <c r="F117" s="5" t="s">
        <v>270</v>
      </c>
      <c r="K117" s="13">
        <f>F117*0.79*0.94</f>
        <v>668.3399999999999</v>
      </c>
      <c r="L117" s="2">
        <v>67</v>
      </c>
    </row>
    <row r="118" spans="1:12" ht="15">
      <c r="A118" s="3" t="s">
        <v>268</v>
      </c>
      <c r="B118" s="3" t="s">
        <v>436</v>
      </c>
      <c r="C118" s="5" t="s">
        <v>70</v>
      </c>
      <c r="D118" s="5" t="s">
        <v>95</v>
      </c>
      <c r="E118" s="5"/>
      <c r="F118" s="5" t="s">
        <v>188</v>
      </c>
      <c r="K118" s="13">
        <f>F118*0.25*0.95</f>
        <v>190</v>
      </c>
      <c r="L118" s="2">
        <v>62</v>
      </c>
    </row>
    <row r="119" spans="1:12" ht="15">
      <c r="A119" s="3" t="s">
        <v>295</v>
      </c>
      <c r="B119" s="3" t="s">
        <v>437</v>
      </c>
      <c r="C119" s="5" t="s">
        <v>296</v>
      </c>
      <c r="D119" s="5" t="s">
        <v>81</v>
      </c>
      <c r="E119" s="5"/>
      <c r="F119" s="5" t="s">
        <v>270</v>
      </c>
      <c r="K119" s="13">
        <f>F119*0.58*0.9</f>
        <v>469.8</v>
      </c>
      <c r="L119" s="2">
        <v>68</v>
      </c>
    </row>
    <row r="120" spans="1:12" ht="15">
      <c r="A120" s="3" t="s">
        <v>297</v>
      </c>
      <c r="B120" s="3" t="s">
        <v>438</v>
      </c>
      <c r="C120" s="5" t="s">
        <v>95</v>
      </c>
      <c r="D120" s="5" t="s">
        <v>81</v>
      </c>
      <c r="E120" s="5"/>
      <c r="F120" s="5" t="s">
        <v>264</v>
      </c>
      <c r="K120" s="13">
        <f>F120*0.95*0.9</f>
        <v>855</v>
      </c>
      <c r="L120" s="2">
        <v>68</v>
      </c>
    </row>
    <row r="121" spans="1:12" ht="15">
      <c r="A121" s="3" t="s">
        <v>298</v>
      </c>
      <c r="B121" s="3" t="s">
        <v>439</v>
      </c>
      <c r="C121" s="5" t="s">
        <v>203</v>
      </c>
      <c r="D121" s="5" t="s">
        <v>203</v>
      </c>
      <c r="E121" s="5"/>
      <c r="F121" s="5" t="s">
        <v>130</v>
      </c>
      <c r="K121" s="13">
        <f>F121*0.99*0.99</f>
        <v>1274.1299999999999</v>
      </c>
      <c r="L121" s="2">
        <v>68</v>
      </c>
    </row>
    <row r="122" spans="1:8" ht="15">
      <c r="A122" s="3" t="s">
        <v>153</v>
      </c>
      <c r="B122" s="3" t="s">
        <v>443</v>
      </c>
      <c r="C122" s="5" t="s">
        <v>154</v>
      </c>
      <c r="D122" s="5" t="s">
        <v>155</v>
      </c>
      <c r="E122" s="5" t="s">
        <v>156</v>
      </c>
      <c r="F122" s="5"/>
      <c r="G122" s="2">
        <v>600</v>
      </c>
      <c r="H122" s="2">
        <v>810</v>
      </c>
    </row>
    <row r="123" spans="1:12" ht="15">
      <c r="A123" s="3" t="s">
        <v>348</v>
      </c>
      <c r="B123" s="3" t="s">
        <v>441</v>
      </c>
      <c r="C123" s="5" t="s">
        <v>67</v>
      </c>
      <c r="D123" s="5" t="s">
        <v>78</v>
      </c>
      <c r="E123" s="5"/>
      <c r="F123" s="5" t="s">
        <v>270</v>
      </c>
      <c r="K123" s="13">
        <f>F123*0.3*0.06</f>
        <v>16.2</v>
      </c>
      <c r="L123" s="2">
        <v>60</v>
      </c>
    </row>
    <row r="124" spans="1:12" ht="15">
      <c r="A124" s="3" t="s">
        <v>302</v>
      </c>
      <c r="B124" s="3" t="s">
        <v>442</v>
      </c>
      <c r="C124" s="2">
        <v>18</v>
      </c>
      <c r="D124" s="2">
        <v>92</v>
      </c>
      <c r="F124" s="2">
        <v>750</v>
      </c>
      <c r="K124" s="13">
        <f>F124*0.18*0.92</f>
        <v>124.2</v>
      </c>
      <c r="L124" s="2">
        <v>61</v>
      </c>
    </row>
    <row r="125" spans="1:12" ht="15">
      <c r="A125" s="3" t="s">
        <v>25</v>
      </c>
      <c r="B125" s="3" t="s">
        <v>440</v>
      </c>
      <c r="C125" s="5" t="s">
        <v>124</v>
      </c>
      <c r="D125" s="5" t="s">
        <v>125</v>
      </c>
      <c r="E125" s="5" t="s">
        <v>52</v>
      </c>
      <c r="F125" s="5" t="s">
        <v>109</v>
      </c>
      <c r="I125" s="13">
        <f>F125*0.09*0.75</f>
        <v>40.5</v>
      </c>
      <c r="J125" s="13">
        <f>F125*0.37*0.98</f>
        <v>217.56</v>
      </c>
      <c r="K125" s="13">
        <f>AVERAGE(I125:J125)</f>
        <v>129.03</v>
      </c>
      <c r="L125" s="2">
        <v>61</v>
      </c>
    </row>
    <row r="126" spans="1:12" ht="15">
      <c r="A126" s="1" t="s">
        <v>351</v>
      </c>
      <c r="B126" s="8" t="s">
        <v>500</v>
      </c>
      <c r="C126" s="10"/>
      <c r="D126" s="10"/>
      <c r="E126" s="10"/>
      <c r="F126" s="10"/>
      <c r="G126" s="10"/>
      <c r="H126" s="10"/>
      <c r="I126" s="18"/>
      <c r="J126" s="18"/>
      <c r="K126" s="19"/>
      <c r="L126" s="11"/>
    </row>
    <row r="127" spans="1:8" ht="15">
      <c r="A127" s="3" t="s">
        <v>157</v>
      </c>
      <c r="B127" s="3" t="s">
        <v>444</v>
      </c>
      <c r="C127" s="5" t="s">
        <v>158</v>
      </c>
      <c r="D127" s="5" t="s">
        <v>159</v>
      </c>
      <c r="E127" s="5" t="s">
        <v>160</v>
      </c>
      <c r="F127" s="5"/>
      <c r="G127" s="2">
        <v>290</v>
      </c>
      <c r="H127" s="2">
        <v>800</v>
      </c>
    </row>
    <row r="128" spans="1:12" ht="15">
      <c r="A128" s="3" t="s">
        <v>20</v>
      </c>
      <c r="B128" s="3" t="s">
        <v>477</v>
      </c>
      <c r="C128" s="5" t="s">
        <v>253</v>
      </c>
      <c r="D128" s="5" t="s">
        <v>81</v>
      </c>
      <c r="E128" s="5" t="s">
        <v>114</v>
      </c>
      <c r="F128" s="5" t="s">
        <v>109</v>
      </c>
      <c r="G128" s="2">
        <v>550</v>
      </c>
      <c r="H128" s="2">
        <v>600</v>
      </c>
      <c r="I128" s="13">
        <f>F128*0.117*0.9</f>
        <v>63.18000000000001</v>
      </c>
      <c r="J128" s="13">
        <f>F128*0.25*0.9</f>
        <v>135</v>
      </c>
      <c r="K128" s="13">
        <f>AVERAGE(I128:J128)</f>
        <v>99.09</v>
      </c>
      <c r="L128" s="2">
        <v>54</v>
      </c>
    </row>
    <row r="129" spans="1:12" ht="15">
      <c r="A129" s="3" t="s">
        <v>244</v>
      </c>
      <c r="B129" s="3" t="s">
        <v>478</v>
      </c>
      <c r="C129" s="5" t="s">
        <v>70</v>
      </c>
      <c r="D129" s="5" t="s">
        <v>51</v>
      </c>
      <c r="E129" s="5"/>
      <c r="F129" s="5" t="s">
        <v>177</v>
      </c>
      <c r="K129" s="13">
        <f>F129*0.25*0.75</f>
        <v>103.125</v>
      </c>
      <c r="L129" s="2">
        <v>52</v>
      </c>
    </row>
    <row r="130" spans="1:12" ht="15">
      <c r="A130" s="3" t="s">
        <v>245</v>
      </c>
      <c r="B130" s="3" t="s">
        <v>479</v>
      </c>
      <c r="C130" s="5" t="s">
        <v>212</v>
      </c>
      <c r="D130" s="5" t="s">
        <v>246</v>
      </c>
      <c r="E130" s="5"/>
      <c r="F130" s="5" t="s">
        <v>247</v>
      </c>
      <c r="K130" s="13">
        <f>F130*0.87*0.98</f>
        <v>665.028</v>
      </c>
      <c r="L130" s="2">
        <v>59</v>
      </c>
    </row>
    <row r="131" spans="1:12" ht="15">
      <c r="A131" s="3" t="s">
        <v>22</v>
      </c>
      <c r="B131" s="3" t="s">
        <v>480</v>
      </c>
      <c r="C131" s="5" t="s">
        <v>200</v>
      </c>
      <c r="D131" s="5" t="s">
        <v>47</v>
      </c>
      <c r="E131" s="5" t="s">
        <v>118</v>
      </c>
      <c r="F131" s="5" t="s">
        <v>254</v>
      </c>
      <c r="K131" s="13">
        <f>F131*0.94*0.8</f>
        <v>526.4</v>
      </c>
      <c r="L131" s="2">
        <v>70</v>
      </c>
    </row>
    <row r="132" spans="1:12" ht="15">
      <c r="A132" s="3" t="s">
        <v>263</v>
      </c>
      <c r="B132" s="3" t="s">
        <v>481</v>
      </c>
      <c r="C132" s="5" t="s">
        <v>48</v>
      </c>
      <c r="D132" s="5" t="s">
        <v>206</v>
      </c>
      <c r="E132" s="5"/>
      <c r="F132" s="5" t="s">
        <v>264</v>
      </c>
      <c r="K132" s="13">
        <f>F132*0.14*0.91</f>
        <v>127.4</v>
      </c>
      <c r="L132" s="2">
        <v>65</v>
      </c>
    </row>
    <row r="133" spans="1:12" ht="15">
      <c r="A133" s="3" t="s">
        <v>265</v>
      </c>
      <c r="B133" s="3" t="s">
        <v>482</v>
      </c>
      <c r="C133" s="5" t="s">
        <v>203</v>
      </c>
      <c r="D133" s="5" t="s">
        <v>203</v>
      </c>
      <c r="E133" s="5"/>
      <c r="F133" s="5" t="s">
        <v>266</v>
      </c>
      <c r="K133" s="13">
        <f>F133*0.99*0.99</f>
        <v>1078.11</v>
      </c>
      <c r="L133" s="2">
        <v>68</v>
      </c>
    </row>
    <row r="134" spans="1:8" ht="15">
      <c r="A134" s="3" t="s">
        <v>170</v>
      </c>
      <c r="B134" s="3" t="s">
        <v>483</v>
      </c>
      <c r="C134" s="5" t="s">
        <v>171</v>
      </c>
      <c r="D134" s="5" t="s">
        <v>172</v>
      </c>
      <c r="E134" s="5"/>
      <c r="F134" s="5"/>
      <c r="G134" s="2">
        <v>800</v>
      </c>
      <c r="H134" s="2">
        <v>1100</v>
      </c>
    </row>
    <row r="135" spans="1:11" ht="15">
      <c r="A135" s="3" t="s">
        <v>26</v>
      </c>
      <c r="B135" s="3" t="s">
        <v>484</v>
      </c>
      <c r="C135" s="5" t="s">
        <v>126</v>
      </c>
      <c r="D135" s="5" t="s">
        <v>164</v>
      </c>
      <c r="E135" s="5"/>
      <c r="F135" s="5" t="s">
        <v>127</v>
      </c>
      <c r="G135" s="2">
        <v>700</v>
      </c>
      <c r="H135" s="2">
        <v>1200</v>
      </c>
      <c r="I135" s="13">
        <f>F135*0.05*0.83</f>
        <v>49.8</v>
      </c>
      <c r="J135" s="13">
        <f>F135*0.24*0.98</f>
        <v>282.24</v>
      </c>
      <c r="K135" s="13">
        <f>AVERAGE(I135:J135)</f>
        <v>166.02</v>
      </c>
    </row>
    <row r="136" spans="1:12" ht="15">
      <c r="A136" s="3" t="s">
        <v>279</v>
      </c>
      <c r="B136" s="3" t="s">
        <v>446</v>
      </c>
      <c r="C136" s="5" t="s">
        <v>280</v>
      </c>
      <c r="D136" s="5" t="s">
        <v>203</v>
      </c>
      <c r="E136" s="5"/>
      <c r="F136" s="5" t="s">
        <v>281</v>
      </c>
      <c r="K136" s="13">
        <f>F136*1*0.99</f>
        <v>841.5</v>
      </c>
      <c r="L136" s="2">
        <v>50</v>
      </c>
    </row>
    <row r="137" spans="1:12" ht="15">
      <c r="A137" s="3" t="s">
        <v>256</v>
      </c>
      <c r="B137" s="3" t="s">
        <v>445</v>
      </c>
      <c r="C137" s="5" t="s">
        <v>52</v>
      </c>
      <c r="D137" s="5" t="s">
        <v>172</v>
      </c>
      <c r="E137" s="5"/>
      <c r="F137" s="5" t="s">
        <v>195</v>
      </c>
      <c r="K137" s="13">
        <f>F137*0.18*0.96</f>
        <v>107.136</v>
      </c>
      <c r="L137" s="2">
        <v>70</v>
      </c>
    </row>
    <row r="138" spans="1:12" ht="15">
      <c r="A138" s="3" t="s">
        <v>23</v>
      </c>
      <c r="B138" s="3" t="s">
        <v>447</v>
      </c>
      <c r="C138" s="5" t="s">
        <v>255</v>
      </c>
      <c r="D138" s="5" t="s">
        <v>90</v>
      </c>
      <c r="E138" s="5" t="s">
        <v>119</v>
      </c>
      <c r="F138" s="5" t="s">
        <v>109</v>
      </c>
      <c r="G138" s="2">
        <v>570</v>
      </c>
      <c r="H138" s="2">
        <v>600</v>
      </c>
      <c r="I138" s="13">
        <f>F138*0.89*0.8</f>
        <v>427.20000000000005</v>
      </c>
      <c r="J138" s="13">
        <f>F138*0.9*0.95</f>
        <v>513</v>
      </c>
      <c r="K138" s="13">
        <f>AVERAGE(I138:J138)</f>
        <v>470.1</v>
      </c>
      <c r="L138" s="2">
        <v>70</v>
      </c>
    </row>
    <row r="139" spans="1:12" ht="15">
      <c r="A139" s="3" t="s">
        <v>259</v>
      </c>
      <c r="B139" s="3" t="s">
        <v>448</v>
      </c>
      <c r="C139" s="5" t="s">
        <v>81</v>
      </c>
      <c r="D139" s="5" t="s">
        <v>74</v>
      </c>
      <c r="E139" s="5"/>
      <c r="F139" s="5" t="s">
        <v>260</v>
      </c>
      <c r="K139" s="13">
        <f>F139*0.9*0.82</f>
        <v>523.98</v>
      </c>
      <c r="L139" s="2">
        <v>70</v>
      </c>
    </row>
    <row r="140" spans="1:12" ht="15">
      <c r="A140" s="3" t="s">
        <v>261</v>
      </c>
      <c r="B140" s="3" t="s">
        <v>485</v>
      </c>
      <c r="C140" s="5" t="s">
        <v>106</v>
      </c>
      <c r="D140" s="5" t="s">
        <v>71</v>
      </c>
      <c r="E140" s="5"/>
      <c r="F140" s="5" t="s">
        <v>223</v>
      </c>
      <c r="K140" s="13">
        <f>F140*0.92*0.79</f>
        <v>457.884</v>
      </c>
      <c r="L140" s="2">
        <v>70</v>
      </c>
    </row>
    <row r="141" spans="1:12" ht="15">
      <c r="A141" s="3" t="s">
        <v>262</v>
      </c>
      <c r="B141" s="3" t="s">
        <v>449</v>
      </c>
      <c r="C141" s="5" t="s">
        <v>106</v>
      </c>
      <c r="D141" s="5" t="s">
        <v>110</v>
      </c>
      <c r="E141" s="5"/>
      <c r="F141" s="5" t="s">
        <v>193</v>
      </c>
      <c r="K141" s="13">
        <f>F141*0.92*0.88</f>
        <v>550.528</v>
      </c>
      <c r="L141" s="2">
        <v>70</v>
      </c>
    </row>
    <row r="142" spans="1:12" ht="15">
      <c r="A142" s="3" t="s">
        <v>267</v>
      </c>
      <c r="B142" s="3" t="s">
        <v>486</v>
      </c>
      <c r="C142" s="5" t="s">
        <v>80</v>
      </c>
      <c r="D142" s="5" t="s">
        <v>165</v>
      </c>
      <c r="E142" s="5" t="s">
        <v>166</v>
      </c>
      <c r="F142" s="5"/>
      <c r="G142" s="2">
        <v>300</v>
      </c>
      <c r="H142" s="2">
        <v>520</v>
      </c>
      <c r="L142" s="2">
        <v>55</v>
      </c>
    </row>
    <row r="143" spans="1:12" ht="15">
      <c r="A143" s="3" t="s">
        <v>24</v>
      </c>
      <c r="B143" s="3" t="s">
        <v>487</v>
      </c>
      <c r="C143" s="5" t="s">
        <v>257</v>
      </c>
      <c r="D143" s="5" t="s">
        <v>258</v>
      </c>
      <c r="E143" s="5" t="s">
        <v>120</v>
      </c>
      <c r="F143" s="5" t="s">
        <v>121</v>
      </c>
      <c r="G143" s="2">
        <v>450</v>
      </c>
      <c r="H143" s="2">
        <v>550</v>
      </c>
      <c r="I143" s="13">
        <f>450*0.14*0.82</f>
        <v>51.660000000000004</v>
      </c>
      <c r="J143" s="13">
        <f>550*0.15*0.84</f>
        <v>69.3</v>
      </c>
      <c r="K143" s="13">
        <f>AVERAGE(I143:J143)</f>
        <v>60.480000000000004</v>
      </c>
      <c r="L143" s="2">
        <v>55</v>
      </c>
    </row>
    <row r="144" spans="1:8" ht="15">
      <c r="A144" s="3" t="s">
        <v>167</v>
      </c>
      <c r="B144" s="3" t="s">
        <v>488</v>
      </c>
      <c r="C144" s="5" t="s">
        <v>168</v>
      </c>
      <c r="D144" s="5" t="s">
        <v>81</v>
      </c>
      <c r="E144" s="5" t="s">
        <v>169</v>
      </c>
      <c r="F144" s="5"/>
      <c r="G144" s="2">
        <v>700</v>
      </c>
      <c r="H144" s="2">
        <v>900</v>
      </c>
    </row>
    <row r="145" spans="1:11" ht="15">
      <c r="A145" s="3" t="s">
        <v>304</v>
      </c>
      <c r="B145" s="3" t="s">
        <v>489</v>
      </c>
      <c r="C145" s="5" t="s">
        <v>122</v>
      </c>
      <c r="D145" s="5" t="s">
        <v>123</v>
      </c>
      <c r="E145" s="5" t="s">
        <v>166</v>
      </c>
      <c r="F145" s="5" t="s">
        <v>53</v>
      </c>
      <c r="G145" s="2">
        <v>400</v>
      </c>
      <c r="H145" s="2">
        <v>570</v>
      </c>
      <c r="I145" s="13">
        <f>300*0.11*0.8</f>
        <v>26.400000000000002</v>
      </c>
      <c r="J145" s="13">
        <f>400*0.19*0.9</f>
        <v>68.4</v>
      </c>
      <c r="K145" s="13">
        <f>AVERAGE(I145:J145)</f>
        <v>47.400000000000006</v>
      </c>
    </row>
    <row r="146" spans="1:11" ht="15">
      <c r="A146" s="3" t="s">
        <v>27</v>
      </c>
      <c r="B146" s="3" t="s">
        <v>490</v>
      </c>
      <c r="C146" s="5" t="s">
        <v>128</v>
      </c>
      <c r="D146" s="5" t="s">
        <v>129</v>
      </c>
      <c r="E146" s="5"/>
      <c r="F146" s="5" t="s">
        <v>130</v>
      </c>
      <c r="I146" s="13">
        <f>F146*0.01*0.7</f>
        <v>9.1</v>
      </c>
      <c r="J146" s="13">
        <f>F146*0.7*0.99</f>
        <v>900.8999999999999</v>
      </c>
      <c r="K146" s="13">
        <f>AVERAGE(I146:J146)</f>
        <v>454.99999999999994</v>
      </c>
    </row>
    <row r="147" spans="1:12" ht="15">
      <c r="A147" s="3" t="s">
        <v>347</v>
      </c>
      <c r="B147" s="3" t="s">
        <v>491</v>
      </c>
      <c r="C147" s="5" t="s">
        <v>353</v>
      </c>
      <c r="D147" s="7" t="s">
        <v>143</v>
      </c>
      <c r="E147" s="7">
        <v>10</v>
      </c>
      <c r="F147" s="7"/>
      <c r="G147" s="2">
        <v>310</v>
      </c>
      <c r="H147" s="2">
        <v>640</v>
      </c>
      <c r="L147" s="2" t="s">
        <v>352</v>
      </c>
    </row>
    <row r="148" spans="1:12" ht="15">
      <c r="A148" s="3" t="s">
        <v>300</v>
      </c>
      <c r="B148" s="3" t="s">
        <v>492</v>
      </c>
      <c r="C148" s="7">
        <v>5</v>
      </c>
      <c r="D148" s="7">
        <v>90</v>
      </c>
      <c r="E148" s="7"/>
      <c r="F148" s="7">
        <v>1000</v>
      </c>
      <c r="K148" s="13">
        <f>F148*0.05*0.9</f>
        <v>45</v>
      </c>
      <c r="L148" s="2">
        <v>68</v>
      </c>
    </row>
    <row r="149" spans="1:12" ht="15">
      <c r="A149" s="3" t="s">
        <v>301</v>
      </c>
      <c r="B149" s="3" t="s">
        <v>493</v>
      </c>
      <c r="C149" s="7">
        <v>70</v>
      </c>
      <c r="D149" s="7">
        <v>90</v>
      </c>
      <c r="E149" s="7"/>
      <c r="F149" s="7">
        <v>1001</v>
      </c>
      <c r="K149" s="13">
        <f>F149*0.7*0.9</f>
        <v>630.63</v>
      </c>
      <c r="L149" s="2">
        <v>70</v>
      </c>
    </row>
    <row r="150" spans="1:12" ht="15">
      <c r="A150" s="3" t="s">
        <v>294</v>
      </c>
      <c r="B150" s="3" t="s">
        <v>494</v>
      </c>
      <c r="C150" s="2">
        <v>10</v>
      </c>
      <c r="D150" s="2">
        <v>66</v>
      </c>
      <c r="F150" s="2">
        <v>600</v>
      </c>
      <c r="K150" s="13">
        <f>F150*0.1*0.66</f>
        <v>39.6</v>
      </c>
      <c r="L150" s="2">
        <v>55</v>
      </c>
    </row>
    <row r="151" spans="1:12" ht="15">
      <c r="A151" s="3" t="s">
        <v>299</v>
      </c>
      <c r="B151" s="3" t="s">
        <v>495</v>
      </c>
      <c r="C151" s="2">
        <v>2</v>
      </c>
      <c r="D151" s="2">
        <v>75</v>
      </c>
      <c r="F151" s="2">
        <v>760</v>
      </c>
      <c r="K151" s="13">
        <f>F151*0.02*0.75</f>
        <v>11.4</v>
      </c>
      <c r="L151" s="2">
        <v>58</v>
      </c>
    </row>
  </sheetData>
  <sheetProtection/>
  <mergeCells count="2">
    <mergeCell ref="A1:B1"/>
    <mergeCell ref="I1:K1"/>
  </mergeCells>
  <printOptions/>
  <pageMargins left="0.57" right="0.37" top="0.55" bottom="0.984251969" header="0.4921259845" footer="0.4921259845"/>
  <pageSetup fitToHeight="3" fitToWidth="1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Guay Bonneau</dc:creator>
  <cp:keywords/>
  <dc:description/>
  <cp:lastModifiedBy>Joan Richmond-Hall</cp:lastModifiedBy>
  <cp:lastPrinted>2009-08-06T18:28:30Z</cp:lastPrinted>
  <dcterms:created xsi:type="dcterms:W3CDTF">2007-06-07T14:18:03Z</dcterms:created>
  <dcterms:modified xsi:type="dcterms:W3CDTF">2019-12-17T01:49:34Z</dcterms:modified>
  <cp:category/>
  <cp:version/>
  <cp:contentType/>
  <cp:contentStatus/>
</cp:coreProperties>
</file>