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ml.chartshapes+xml"/>
  <Override PartName="/xl/charts/chart4.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ml.chartshapes+xml"/>
  <Override PartName="/xl/charts/chart8.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10.xml" ContentType="application/vnd.openxmlformats-officedocument.drawingml.chartshapes+xml"/>
  <Override PartName="/xl/charts/chart16.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15.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16.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17.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8.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drawings/drawing19.xml" ContentType="application/vnd.openxmlformats-officedocument.drawing+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drawings/drawing20.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drawings/drawing21.xml" ContentType="application/vnd.openxmlformats-officedocument.drawing+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722"/>
  <workbookPr showInkAnnotation="0" autoCompressPictures="0"/>
  <bookViews>
    <workbookView xWindow="0" yWindow="0" windowWidth="18120" windowHeight="17540" tabRatio="984" activeTab="11"/>
  </bookViews>
  <sheets>
    <sheet name="Jan'15" sheetId="8" r:id="rId1"/>
    <sheet name="Feb'15" sheetId="7" r:id="rId2"/>
    <sheet name="Mar'15" sheetId="6" r:id="rId3"/>
    <sheet name="Apr'15" sheetId="5" r:id="rId4"/>
    <sheet name="May'15" sheetId="2" r:id="rId5"/>
    <sheet name="Jun'15" sheetId="1" r:id="rId6"/>
    <sheet name="Jul'15" sheetId="3" r:id="rId7"/>
    <sheet name="Aug'15" sheetId="9" r:id="rId8"/>
    <sheet name="Sep'15" sheetId="10" r:id="rId9"/>
    <sheet name="Oct'15" sheetId="11" r:id="rId10"/>
    <sheet name="Nov'15" sheetId="12" r:id="rId11"/>
    <sheet name="Dec'15" sheetId="13" r:id="rId12"/>
    <sheet name="Template" sheetId="4" r:id="rId13"/>
  </sheets>
  <externalReferences>
    <externalReference r:id="rId14"/>
    <externalReference r:id="rId15"/>
    <externalReference r:id="rId16"/>
    <externalReference r:id="rId17"/>
    <externalReference r:id="rId18"/>
    <externalReference r:id="rId19"/>
  </externalReferenc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U13" i="13" l="1"/>
  <c r="T13" i="13"/>
  <c r="S13" i="13"/>
  <c r="R13" i="13"/>
  <c r="P13" i="13"/>
  <c r="U4" i="13"/>
  <c r="T4" i="13"/>
  <c r="S4" i="13"/>
  <c r="R4" i="13"/>
  <c r="P4" i="13"/>
  <c r="N4" i="13"/>
  <c r="U35" i="13"/>
  <c r="T35" i="13"/>
  <c r="S35" i="13"/>
  <c r="R35" i="13"/>
  <c r="P35" i="13"/>
  <c r="N35" i="13"/>
  <c r="K35" i="13"/>
  <c r="J35" i="13"/>
  <c r="H35" i="13"/>
  <c r="G35" i="13"/>
  <c r="E35" i="13"/>
  <c r="D35" i="13"/>
  <c r="C35" i="13"/>
  <c r="U34" i="13"/>
  <c r="T34" i="13"/>
  <c r="S34" i="13"/>
  <c r="R34" i="13"/>
  <c r="P34" i="13"/>
  <c r="N34" i="13"/>
  <c r="K34" i="13"/>
  <c r="J34" i="13"/>
  <c r="H34" i="13"/>
  <c r="G34" i="13"/>
  <c r="E34" i="13"/>
  <c r="D34" i="13"/>
  <c r="C34" i="13"/>
  <c r="U26" i="12"/>
  <c r="T26" i="12"/>
  <c r="S26" i="12"/>
  <c r="R26" i="12"/>
  <c r="P26" i="12"/>
  <c r="U19" i="12"/>
  <c r="T19" i="12"/>
  <c r="S19" i="12"/>
  <c r="R19" i="12"/>
  <c r="Q19" i="12"/>
  <c r="P19" i="12"/>
  <c r="M19" i="12"/>
  <c r="N19" i="12"/>
  <c r="U12" i="12"/>
  <c r="T12" i="12"/>
  <c r="S12" i="12"/>
  <c r="R12" i="12"/>
  <c r="P12" i="12"/>
  <c r="U29" i="11"/>
  <c r="T29" i="11"/>
  <c r="S29" i="11"/>
  <c r="R29" i="11"/>
  <c r="P29" i="11"/>
  <c r="U18" i="11"/>
  <c r="T18" i="11"/>
  <c r="S18" i="11"/>
  <c r="R18" i="11"/>
  <c r="P18" i="11"/>
  <c r="U11" i="11"/>
  <c r="T11" i="11"/>
  <c r="S11" i="11"/>
  <c r="R11" i="11"/>
  <c r="P11" i="11"/>
  <c r="U3" i="11"/>
  <c r="T3" i="11"/>
  <c r="S3" i="11"/>
  <c r="R3" i="11"/>
  <c r="P3" i="11"/>
  <c r="U24" i="10"/>
  <c r="T24" i="10"/>
  <c r="S24" i="10"/>
  <c r="R24" i="10"/>
  <c r="P24" i="10"/>
  <c r="S18" i="10"/>
  <c r="U18" i="10"/>
  <c r="T18" i="10"/>
  <c r="U14" i="10"/>
  <c r="T14" i="10"/>
  <c r="S14" i="10"/>
  <c r="R14" i="10"/>
  <c r="P14" i="10"/>
  <c r="U9" i="10"/>
  <c r="T9" i="10"/>
  <c r="S9" i="10"/>
  <c r="R9" i="10"/>
  <c r="P9" i="10"/>
  <c r="U33" i="9"/>
  <c r="T33" i="9"/>
  <c r="S33" i="9"/>
  <c r="R33" i="9"/>
  <c r="P33" i="9"/>
  <c r="U19" i="9"/>
  <c r="T19" i="9"/>
  <c r="S19" i="9"/>
  <c r="R19" i="9"/>
  <c r="P19" i="9"/>
  <c r="U13" i="9"/>
  <c r="T13" i="9"/>
  <c r="S13" i="9"/>
  <c r="R13" i="9"/>
  <c r="P13" i="9"/>
  <c r="U7" i="9"/>
  <c r="T7" i="9"/>
  <c r="S7" i="9"/>
  <c r="R7" i="9"/>
  <c r="P7" i="9"/>
  <c r="U23" i="5"/>
  <c r="T23" i="5"/>
  <c r="S23" i="5"/>
  <c r="R23" i="5"/>
  <c r="P23" i="5"/>
  <c r="U26" i="5"/>
  <c r="T26" i="5"/>
  <c r="S26" i="5"/>
  <c r="R26" i="5"/>
  <c r="P26" i="5"/>
  <c r="U19" i="5"/>
  <c r="T19" i="5"/>
  <c r="S19" i="5"/>
  <c r="R19" i="5"/>
  <c r="P19" i="5"/>
  <c r="U15" i="5"/>
  <c r="T15" i="5"/>
  <c r="S15" i="5"/>
  <c r="R15" i="5"/>
  <c r="P15" i="5"/>
  <c r="U12" i="5"/>
  <c r="T12" i="5"/>
  <c r="S12" i="5"/>
  <c r="R12" i="5"/>
  <c r="P12" i="5"/>
  <c r="U9" i="5"/>
  <c r="T9" i="5"/>
  <c r="S9" i="5"/>
  <c r="R9" i="5"/>
  <c r="P9" i="5"/>
  <c r="N33" i="9"/>
  <c r="N24" i="10"/>
  <c r="N18" i="10"/>
  <c r="N14" i="10"/>
  <c r="N29" i="11"/>
  <c r="N18" i="11"/>
  <c r="N11" i="11"/>
  <c r="G35" i="11"/>
  <c r="G36" i="11"/>
  <c r="E35" i="11"/>
  <c r="E36" i="11"/>
  <c r="D35" i="11"/>
  <c r="D36" i="11"/>
  <c r="N3" i="11"/>
  <c r="U35" i="12"/>
  <c r="T35" i="12"/>
  <c r="S35" i="12"/>
  <c r="R35" i="12"/>
  <c r="P35" i="12"/>
  <c r="N35" i="12"/>
  <c r="K35" i="12"/>
  <c r="J35" i="12"/>
  <c r="H35" i="12"/>
  <c r="G35" i="12"/>
  <c r="E35" i="12"/>
  <c r="D35" i="12"/>
  <c r="C35" i="12"/>
  <c r="U34" i="12"/>
  <c r="T34" i="12"/>
  <c r="S34" i="12"/>
  <c r="R34" i="12"/>
  <c r="P34" i="12"/>
  <c r="N34" i="12"/>
  <c r="K34" i="12"/>
  <c r="J34" i="12"/>
  <c r="H34" i="12"/>
  <c r="G34" i="12"/>
  <c r="E34" i="12"/>
  <c r="D34" i="12"/>
  <c r="C34" i="12"/>
  <c r="A9" i="11"/>
  <c r="A8" i="11"/>
  <c r="A7" i="11"/>
  <c r="A6" i="11"/>
  <c r="A5" i="11"/>
  <c r="A4" i="11"/>
  <c r="A3" i="11"/>
  <c r="U36" i="11"/>
  <c r="T36" i="11"/>
  <c r="S36" i="11"/>
  <c r="R36" i="11"/>
  <c r="P36" i="11"/>
  <c r="N36" i="11"/>
  <c r="K37" i="11"/>
  <c r="J37" i="11"/>
  <c r="H36" i="11"/>
  <c r="C36" i="11"/>
  <c r="U35" i="11"/>
  <c r="T35" i="11"/>
  <c r="S35" i="11"/>
  <c r="R35" i="11"/>
  <c r="P35" i="11"/>
  <c r="N35" i="11"/>
  <c r="K36" i="11"/>
  <c r="J36" i="11"/>
  <c r="H35" i="11"/>
  <c r="C35" i="11"/>
  <c r="U35" i="10"/>
  <c r="T35" i="10"/>
  <c r="S35" i="10"/>
  <c r="R35" i="10"/>
  <c r="P35" i="10"/>
  <c r="N35" i="10"/>
  <c r="K35" i="10"/>
  <c r="J35" i="10"/>
  <c r="H35" i="10"/>
  <c r="G35" i="10"/>
  <c r="E35" i="10"/>
  <c r="D35" i="10"/>
  <c r="C35" i="10"/>
  <c r="U34" i="10"/>
  <c r="T34" i="10"/>
  <c r="S34" i="10"/>
  <c r="R34" i="10"/>
  <c r="P34" i="10"/>
  <c r="N34" i="10"/>
  <c r="K34" i="10"/>
  <c r="J34" i="10"/>
  <c r="H34" i="10"/>
  <c r="G34" i="10"/>
  <c r="E34" i="10"/>
  <c r="D34" i="10"/>
  <c r="C34" i="10"/>
  <c r="N13" i="9"/>
  <c r="N7" i="9"/>
  <c r="U36" i="9"/>
  <c r="T36" i="9"/>
  <c r="S36" i="9"/>
  <c r="R36" i="9"/>
  <c r="P36" i="9"/>
  <c r="N36" i="9"/>
  <c r="K36" i="9"/>
  <c r="J36" i="9"/>
  <c r="H36" i="9"/>
  <c r="G36" i="9"/>
  <c r="E36" i="9"/>
  <c r="D36" i="9"/>
  <c r="C36" i="9"/>
  <c r="U35" i="9"/>
  <c r="T35" i="9"/>
  <c r="S35" i="9"/>
  <c r="R35" i="9"/>
  <c r="P35" i="9"/>
  <c r="N35" i="9"/>
  <c r="K35" i="9"/>
  <c r="J35" i="9"/>
  <c r="H35" i="9"/>
  <c r="G35" i="9"/>
  <c r="E35" i="9"/>
  <c r="D35" i="9"/>
  <c r="C35" i="9"/>
  <c r="U26" i="3"/>
  <c r="T26" i="3"/>
  <c r="S26" i="3"/>
  <c r="R26" i="3"/>
  <c r="P26" i="3"/>
  <c r="U30" i="3"/>
  <c r="T30" i="3"/>
  <c r="S30" i="3"/>
  <c r="N30" i="3"/>
  <c r="U32" i="3"/>
  <c r="T32" i="3"/>
  <c r="S32" i="3"/>
  <c r="R32" i="3"/>
  <c r="P32" i="3"/>
  <c r="N32" i="3"/>
  <c r="C35" i="3"/>
  <c r="C36" i="3"/>
  <c r="N26" i="3"/>
  <c r="U23" i="3"/>
  <c r="T23" i="3"/>
  <c r="S23" i="3"/>
  <c r="N23" i="3"/>
  <c r="U16" i="3"/>
  <c r="T16" i="3"/>
  <c r="S16" i="3"/>
  <c r="R16" i="3"/>
  <c r="P16" i="3"/>
  <c r="N16" i="3"/>
  <c r="U11" i="3"/>
  <c r="T11" i="3"/>
  <c r="S11" i="3"/>
  <c r="R11" i="3"/>
  <c r="P11" i="3"/>
  <c r="N11" i="3"/>
  <c r="G36" i="8"/>
  <c r="G35" i="8"/>
  <c r="U36" i="8"/>
  <c r="T36" i="8"/>
  <c r="S36" i="8"/>
  <c r="R36" i="8"/>
  <c r="P36" i="8"/>
  <c r="N36" i="8"/>
  <c r="K36" i="8"/>
  <c r="J36" i="8"/>
  <c r="H36" i="8"/>
  <c r="E36" i="8"/>
  <c r="D36" i="8"/>
  <c r="C36" i="8"/>
  <c r="U35" i="8"/>
  <c r="T35" i="8"/>
  <c r="S35" i="8"/>
  <c r="R35" i="8"/>
  <c r="P35" i="8"/>
  <c r="N35" i="8"/>
  <c r="K35" i="8"/>
  <c r="J35" i="8"/>
  <c r="H35" i="8"/>
  <c r="E35" i="8"/>
  <c r="D35" i="8"/>
  <c r="C35" i="8"/>
  <c r="U33" i="7"/>
  <c r="T33" i="7"/>
  <c r="S33" i="7"/>
  <c r="R33" i="7"/>
  <c r="P33" i="7"/>
  <c r="N33" i="7"/>
  <c r="K33" i="7"/>
  <c r="J33" i="7"/>
  <c r="H33" i="7"/>
  <c r="G33" i="7"/>
  <c r="E33" i="7"/>
  <c r="D33" i="7"/>
  <c r="C33" i="7"/>
  <c r="U32" i="7"/>
  <c r="T32" i="7"/>
  <c r="S32" i="7"/>
  <c r="R32" i="7"/>
  <c r="P32" i="7"/>
  <c r="N32" i="7"/>
  <c r="K32" i="7"/>
  <c r="J32" i="7"/>
  <c r="H32" i="7"/>
  <c r="G32" i="7"/>
  <c r="E32" i="7"/>
  <c r="D32" i="7"/>
  <c r="C32" i="7"/>
  <c r="U36" i="6"/>
  <c r="T36" i="6"/>
  <c r="S36" i="6"/>
  <c r="R36" i="6"/>
  <c r="P36" i="6"/>
  <c r="N36" i="6"/>
  <c r="K36" i="6"/>
  <c r="J36" i="6"/>
  <c r="H36" i="6"/>
  <c r="G36" i="6"/>
  <c r="E36" i="6"/>
  <c r="D36" i="6"/>
  <c r="C36" i="6"/>
  <c r="U35" i="6"/>
  <c r="T35" i="6"/>
  <c r="S35" i="6"/>
  <c r="R35" i="6"/>
  <c r="P35" i="6"/>
  <c r="N35" i="6"/>
  <c r="K35" i="6"/>
  <c r="J35" i="6"/>
  <c r="H35" i="6"/>
  <c r="G35" i="6"/>
  <c r="E35" i="6"/>
  <c r="D35" i="6"/>
  <c r="C35" i="6"/>
  <c r="N23" i="5"/>
  <c r="N26" i="5"/>
  <c r="N19" i="5"/>
  <c r="N15" i="5"/>
  <c r="N12" i="5"/>
  <c r="N9" i="5"/>
  <c r="U35" i="5"/>
  <c r="T35" i="5"/>
  <c r="S35" i="5"/>
  <c r="R35" i="5"/>
  <c r="P35" i="5"/>
  <c r="N35" i="5"/>
  <c r="K35" i="5"/>
  <c r="J35" i="5"/>
  <c r="H35" i="5"/>
  <c r="G35" i="5"/>
  <c r="E35" i="5"/>
  <c r="D35" i="5"/>
  <c r="C35" i="5"/>
  <c r="U34" i="5"/>
  <c r="T34" i="5"/>
  <c r="S34" i="5"/>
  <c r="R34" i="5"/>
  <c r="P34" i="5"/>
  <c r="N34" i="5"/>
  <c r="K34" i="5"/>
  <c r="J34" i="5"/>
  <c r="H34" i="5"/>
  <c r="G34" i="5"/>
  <c r="E34" i="5"/>
  <c r="D34" i="5"/>
  <c r="C34" i="5"/>
  <c r="U4" i="3"/>
  <c r="T4" i="3"/>
  <c r="S4" i="3"/>
  <c r="R4" i="3"/>
  <c r="P4" i="3"/>
  <c r="N4" i="3"/>
  <c r="U35" i="4"/>
  <c r="T35" i="4"/>
  <c r="S35" i="4"/>
  <c r="R35" i="4"/>
  <c r="P35" i="4"/>
  <c r="N35" i="4"/>
  <c r="K35" i="4"/>
  <c r="J35" i="4"/>
  <c r="H35" i="4"/>
  <c r="G35" i="4"/>
  <c r="E35" i="4"/>
  <c r="D35" i="4"/>
  <c r="C35" i="4"/>
  <c r="U34" i="4"/>
  <c r="T34" i="4"/>
  <c r="S34" i="4"/>
  <c r="R34" i="4"/>
  <c r="P34" i="4"/>
  <c r="N34" i="4"/>
  <c r="K34" i="4"/>
  <c r="J34" i="4"/>
  <c r="H34" i="4"/>
  <c r="G34" i="4"/>
  <c r="E34" i="4"/>
  <c r="D34" i="4"/>
  <c r="C34" i="4"/>
  <c r="U36" i="3"/>
  <c r="T36" i="3"/>
  <c r="S36" i="3"/>
  <c r="R36" i="3"/>
  <c r="P36" i="3"/>
  <c r="N36" i="3"/>
  <c r="K36" i="3"/>
  <c r="J36" i="3"/>
  <c r="H36" i="3"/>
  <c r="G36" i="3"/>
  <c r="E36" i="3"/>
  <c r="D36" i="3"/>
  <c r="U35" i="3"/>
  <c r="T35" i="3"/>
  <c r="S35" i="3"/>
  <c r="R35" i="3"/>
  <c r="P35" i="3"/>
  <c r="N35" i="3"/>
  <c r="K35" i="3"/>
  <c r="J35" i="3"/>
  <c r="H35" i="3"/>
  <c r="G35" i="3"/>
  <c r="E35" i="3"/>
  <c r="D35" i="3"/>
  <c r="T31" i="2"/>
  <c r="S31" i="2"/>
  <c r="R31" i="2"/>
  <c r="Q31" i="2"/>
  <c r="O31" i="2"/>
  <c r="T23" i="2"/>
  <c r="S23" i="2"/>
  <c r="R23" i="2"/>
  <c r="Q23" i="2"/>
  <c r="O23" i="2"/>
  <c r="T17" i="2"/>
  <c r="S17" i="2"/>
  <c r="R17" i="2"/>
  <c r="Q17" i="2"/>
  <c r="O17" i="2"/>
  <c r="T10" i="2"/>
  <c r="S10" i="2"/>
  <c r="R10" i="2"/>
  <c r="Q10" i="2"/>
  <c r="O10" i="2"/>
  <c r="Q3" i="2"/>
  <c r="O3" i="2"/>
  <c r="T3" i="2"/>
  <c r="S3" i="2"/>
  <c r="R3" i="2"/>
  <c r="M31" i="2"/>
  <c r="M23" i="2"/>
  <c r="M17" i="2"/>
  <c r="M10" i="2"/>
  <c r="M3" i="2"/>
  <c r="C36" i="2"/>
  <c r="C35" i="2"/>
  <c r="T36" i="2"/>
  <c r="S36" i="2"/>
  <c r="R36" i="2"/>
  <c r="Q36" i="2"/>
  <c r="O36" i="2"/>
  <c r="M36" i="2"/>
  <c r="J36" i="2"/>
  <c r="I36" i="2"/>
  <c r="H36" i="2"/>
  <c r="G36" i="2"/>
  <c r="E36" i="2"/>
  <c r="D36" i="2"/>
  <c r="T35" i="2"/>
  <c r="S35" i="2"/>
  <c r="R35" i="2"/>
  <c r="Q35" i="2"/>
  <c r="O35" i="2"/>
  <c r="M35" i="2"/>
  <c r="J35" i="2"/>
  <c r="I35" i="2"/>
  <c r="H35" i="2"/>
  <c r="G35" i="2"/>
  <c r="E35" i="2"/>
  <c r="D35" i="2"/>
  <c r="T32" i="1"/>
  <c r="S32" i="1"/>
  <c r="R32" i="1"/>
  <c r="M32" i="1"/>
  <c r="J34" i="1"/>
  <c r="J35" i="1"/>
  <c r="I34" i="1"/>
  <c r="I35" i="1"/>
  <c r="G34" i="1"/>
  <c r="G35" i="1"/>
  <c r="F34" i="1"/>
  <c r="F35" i="1"/>
  <c r="D34" i="1"/>
  <c r="D35" i="1"/>
  <c r="C34" i="1"/>
  <c r="C35" i="1"/>
  <c r="B34" i="1"/>
  <c r="B35" i="1"/>
  <c r="T6" i="1"/>
  <c r="T14" i="1"/>
  <c r="T20" i="1"/>
  <c r="T28" i="1"/>
  <c r="T35" i="1"/>
  <c r="S6" i="1"/>
  <c r="S14" i="1"/>
  <c r="S20" i="1"/>
  <c r="S28" i="1"/>
  <c r="S35" i="1"/>
  <c r="R6" i="1"/>
  <c r="R14" i="1"/>
  <c r="R20" i="1"/>
  <c r="R28" i="1"/>
  <c r="R35" i="1"/>
  <c r="Q6" i="1"/>
  <c r="Q14" i="1"/>
  <c r="Q20" i="1"/>
  <c r="Q28" i="1"/>
  <c r="Q35" i="1"/>
  <c r="T34" i="1"/>
  <c r="S34" i="1"/>
  <c r="R34" i="1"/>
  <c r="Q34" i="1"/>
  <c r="O6" i="1"/>
  <c r="O14" i="1"/>
  <c r="O20" i="1"/>
  <c r="O28" i="1"/>
  <c r="O35" i="1"/>
  <c r="O34" i="1"/>
  <c r="M6" i="1"/>
  <c r="M10" i="1"/>
  <c r="M14" i="1"/>
  <c r="M20" i="1"/>
  <c r="M28" i="1"/>
  <c r="M35" i="1"/>
  <c r="M34" i="1"/>
</calcChain>
</file>

<file path=xl/sharedStrings.xml><?xml version="1.0" encoding="utf-8"?>
<sst xmlns="http://schemas.openxmlformats.org/spreadsheetml/2006/main" count="565" uniqueCount="128">
  <si>
    <t xml:space="preserve"> </t>
  </si>
  <si>
    <t>Hydrolyzer pH</t>
  </si>
  <si>
    <t>biogas consumed (m3)</t>
  </si>
  <si>
    <t>electricity consumed (kWh)</t>
  </si>
  <si>
    <t>electricity produced (kWh)</t>
  </si>
  <si>
    <t>generator starts</t>
  </si>
  <si>
    <t>flare starts</t>
  </si>
  <si>
    <t>2G cumulative biogas (m3)</t>
  </si>
  <si>
    <t>generator cumulative operation (hrs)</t>
  </si>
  <si>
    <t>CH4 (%)</t>
  </si>
  <si>
    <t>H2S (ppm)</t>
  </si>
  <si>
    <t>AD pH</t>
  </si>
  <si>
    <t>notes</t>
  </si>
  <si>
    <t>hydroylzer Ripley ratio</t>
  </si>
  <si>
    <t>AD Ripley ratio</t>
  </si>
  <si>
    <t>Hydrolyzer TA (mg/L CaCO3)</t>
  </si>
  <si>
    <t>hydrolyzer PA (mg/L CaCO3)</t>
  </si>
  <si>
    <t>hydrolyzer IA (mg/L CaCO3)</t>
  </si>
  <si>
    <t>AD TA (mg/L CaCO3)</t>
  </si>
  <si>
    <t>AD PA (mg/L CaCO3)</t>
  </si>
  <si>
    <t>AD IA (mg/L CaCO3)</t>
  </si>
  <si>
    <t>VTCAD June 2015 Operational Data</t>
  </si>
  <si>
    <t>average</t>
  </si>
  <si>
    <t>SD</t>
  </si>
  <si>
    <t>day</t>
  </si>
  <si>
    <t>Day of June 2015</t>
  </si>
  <si>
    <t>VTCAD May 2015 Operational Data</t>
  </si>
  <si>
    <t>Day of May 2015</t>
  </si>
  <si>
    <t>biogas consumed (m3/day)</t>
  </si>
  <si>
    <t>electricity consumed (kWh/day)</t>
  </si>
  <si>
    <t>electricity produced (kWh/day)</t>
  </si>
  <si>
    <t>VTCAD July 2015 Operational Data</t>
  </si>
  <si>
    <t>Day of July 2015</t>
  </si>
  <si>
    <t>VTCAD ___MONTH___ 2015 Operational Data</t>
  </si>
  <si>
    <t>Day of _____ 2015</t>
  </si>
  <si>
    <t>VTCAD February 2015 Operational Data</t>
  </si>
  <si>
    <t>Day of Feb 2015</t>
  </si>
  <si>
    <t>VTCAD January 2015 Operational Data</t>
  </si>
  <si>
    <t>Day of Jan 2015</t>
  </si>
  <si>
    <t>VTCAD March 2015 Operational Data</t>
  </si>
  <si>
    <t>Day of Mar 2015</t>
  </si>
  <si>
    <t>Day of Apr 2015</t>
  </si>
  <si>
    <t>VTCAD April 2015 Operational Data</t>
  </si>
  <si>
    <t>Alliance mechanical working on carbon filters for odor control.</t>
  </si>
  <si>
    <t>Separator plugged. Pulled chips from bottom of AD.</t>
  </si>
  <si>
    <t>Separator pipe plugged twice; used balloon to remove blockage. Adjusted weights on separator to lower resistance. Abundant woodchips observed &amp; scooped out of AD overflow box. Genset oil changed; oil pH 5 - 6.  Flare autostart tested &amp; failed. Started manually. Retest of autostart worked.</t>
  </si>
  <si>
    <t>AD overflow box plugged with woodchips. Separator plugged.</t>
  </si>
  <si>
    <t>Sniff test guy (?). 2G Valk. Dan worked on conveyer #2.</t>
  </si>
  <si>
    <t>Flare started manually because biogas at 100%. Genset tripped off and manually restarted. Adjusted switch on conveyer belt 2.</t>
  </si>
  <si>
    <t>Tested flare: worked on 2nd try. Calibrated gas analyzer. Partial install of vent fan filters. Auto tested flare again, successfully.</t>
  </si>
  <si>
    <t>AD vertical mixing pump replaced. Genset tripped off twice &amp; was manually restarted.</t>
  </si>
  <si>
    <t>Genset tripped off and restarted.</t>
  </si>
  <si>
    <t>Genset tripped off &amp; flare failed to start. Tested flare autostart successfully. Travis increased amperage settings on genset breakers in consultation with 2G's Mitch Lankford. Genset tripped off again. 2G will discuss and reply. Hicks installed conver belt up to grinder.</t>
  </si>
  <si>
    <t>Conveyer belt #2 tripped off</t>
  </si>
  <si>
    <t xml:space="preserve">Genset tripped off: heard it start and quickly shut down. Manully restarted. Sent genset breaker images to Greg Martin at 2G; he will call back with recommendations. </t>
  </si>
  <si>
    <t>Genset tripped off; flare manually started.</t>
  </si>
  <si>
    <t>Manually emptied flare water trap. Hicks started work on grinder conveyer belt.</t>
  </si>
  <si>
    <t>Conveyer belt 2 breaker tripped x2</t>
  </si>
  <si>
    <t>Conveyer belt 2 breaker tripped x1</t>
  </si>
  <si>
    <t>Conveyer belt 2 breaker tripped x1; tightened chain on conveyer 1</t>
  </si>
  <si>
    <t>Night check normal; no odors</t>
  </si>
  <si>
    <t>Calibrated gas analyzer; CH4 back up to 60%</t>
  </si>
  <si>
    <t>Conveyer 2 tripped breaker; truck blew radiator hose so Osha manure not delivered</t>
  </si>
  <si>
    <t>Conveyer 2 tripped breaker; manual test of flare was OK</t>
  </si>
  <si>
    <t>Genset tripped &amp; reset; flare fired 6x; conveyer 2 breaker tripped</t>
  </si>
  <si>
    <t>Genset tripped overnight 6/30 &amp; flare fired x6; conveyer 2 breaker tripped</t>
  </si>
  <si>
    <t>Conveyer 2 breaker tripped</t>
  </si>
  <si>
    <t>Calibrated gas analyzer</t>
  </si>
  <si>
    <t>Flare started manually</t>
  </si>
  <si>
    <t>Genset tripped off</t>
  </si>
  <si>
    <t>AD vertical mixing pump out</t>
  </si>
  <si>
    <t>Vent fan filters installed</t>
  </si>
  <si>
    <t>Separator plugged w/ woodchips</t>
  </si>
  <si>
    <t>2G service; genset oil changed</t>
  </si>
  <si>
    <t>AD plug flushed</t>
  </si>
  <si>
    <t>genset tripped; flare fired x5; conveyer 2 breaker tripped</t>
  </si>
  <si>
    <t>genset failed to start (min-max temp?); flare fired x4; called 2G: recommended lowering temperature in genset bay; plug in pipe from prep to hydrolyzer removed; 4:45 odor alert from farm crew - AD crew did not detect odor</t>
  </si>
  <si>
    <t>Dimmick driver lost hose in prep pit; Dan K injured shoulder responding</t>
  </si>
  <si>
    <t>Calibrated gas analyzer; leak from feedstock storage tank 1 noted</t>
  </si>
  <si>
    <t>Seals in pump 5 (hydrolyzer to AD) leaking &amp; need to be replaced: water in pump oil. Pump 6 (AD vertical mixing) not responding; reset controller. Pump 6 may be related to Dining hall circuit breaker overload yesterday?</t>
  </si>
  <si>
    <t>Genset tripped off; flare working</t>
  </si>
  <si>
    <t>Genset switch closing fault</t>
  </si>
  <si>
    <t>Ammonia in prep pit</t>
  </si>
  <si>
    <t>Lightning storm shut system down; Dan reset. Calibrated gas analyzer.</t>
  </si>
  <si>
    <t>Genset tripped off; flare working. Conveyer 2 breaker tripped.</t>
  </si>
  <si>
    <t>Pump 12 running fault</t>
  </si>
  <si>
    <t>Pump 11 running fault</t>
  </si>
  <si>
    <t>Flushed ~1000 gallons from bottom of AD tank.</t>
  </si>
  <si>
    <t>Flushed ~100 gallons from bottom of AD tank.</t>
  </si>
  <si>
    <t>Ammonia in prep pit; connected to moldy silage fed yesterday?</t>
  </si>
  <si>
    <t>Genset tripped off x 2; flare worked first time but was turned off second time?</t>
  </si>
  <si>
    <t>Changed FeCl3 tote.</t>
  </si>
  <si>
    <t>Increased glycerol:crumb to 800 gallons/day. Increased flare on setting to 90%. Genset on setting is 80%. Calibrated gas analyzer.</t>
  </si>
  <si>
    <t>Conveyer 2 breaker tripped.</t>
  </si>
  <si>
    <r>
      <rPr>
        <b/>
        <sz val="12"/>
        <color theme="1"/>
        <rFont val="Calibri"/>
        <family val="2"/>
        <scheme val="minor"/>
      </rPr>
      <t>AD vertical mixing pump out all month.</t>
    </r>
    <r>
      <rPr>
        <sz val="12"/>
        <color theme="1"/>
        <rFont val="Calibri"/>
        <family val="2"/>
        <scheme val="minor"/>
      </rPr>
      <t xml:space="preserve"> Worked on flare: raised position of thermocouple.</t>
    </r>
  </si>
  <si>
    <t>notes: AD vertical mixing pump 6 out all month.</t>
  </si>
  <si>
    <t>AD vertical mixing pump 6 removed &amp; used to replace hydrolyzer to AD pump that was sent out for service of a bent shaft.</t>
  </si>
  <si>
    <t>VTCAD August 2015 Operational Data</t>
  </si>
  <si>
    <t>Day of Aug 2015</t>
  </si>
  <si>
    <t>gas analzyer calibrated</t>
  </si>
  <si>
    <t>VTCAD September 2015 Operational Data</t>
  </si>
  <si>
    <t>Day of Sep 2015</t>
  </si>
  <si>
    <t>genset off during night</t>
  </si>
  <si>
    <t>genset down briefly</t>
  </si>
  <si>
    <t>genset problems</t>
  </si>
  <si>
    <t>genset offline</t>
  </si>
  <si>
    <t>restarted genset 15:30, manually emptied flare water trap</t>
  </si>
  <si>
    <t>VTCAD October 2015 Operational Data</t>
  </si>
  <si>
    <t>Day of Oct 2015</t>
  </si>
  <si>
    <t>VTCAD November 2015 Operational Data</t>
  </si>
  <si>
    <t>Day of Nov 2015</t>
  </si>
  <si>
    <t>hydrolyzer TA (mg/L CaCO3)</t>
  </si>
  <si>
    <t>Pierre called but agreed that odor was due to spreading effluent on field 31 (Fire House field). Hydrolyzer slurry was thick.</t>
  </si>
  <si>
    <t>Stong ammonia in prep pit at 7:45 am - 9 am. Fished rubber roofing chunks out of the prep pit. Purged bottom of AD tank.</t>
  </si>
  <si>
    <t>H2S levels increased to 580 ppm so FeCl3 increased. Ammonia from prep pit.</t>
  </si>
  <si>
    <t>2G present for genset maintenance.</t>
  </si>
  <si>
    <t>VTCAD December 2015 Operational Data</t>
  </si>
  <si>
    <t>Day of Dec 2015</t>
  </si>
  <si>
    <t>time not recorded</t>
  </si>
  <si>
    <t>Excess gas! Hurrah!</t>
  </si>
  <si>
    <t>PMP08 sounded rough on start</t>
  </si>
  <si>
    <t>Turned off EV10. Gary replaced seal on PMP05.</t>
  </si>
  <si>
    <t>Geset oil changed. 'Squirter' heat trace short circuited.</t>
  </si>
  <si>
    <t>Genset tripped &amp; manually reset several times.</t>
  </si>
  <si>
    <t>AD gas @ 101%. Flare working but biogas smell in parking lot. Genset tripped &amp; manually restarted. Flare water trap emptied &amp; was murky greenish brown.</t>
  </si>
  <si>
    <t>Gas mix breaker tripped; restarted genset. PMP05 seal leaking, Tightened gas intake flanges. Bottom pipe from hydrolyzer to AD blocked; feeding from upper pipe. Hydrolysis slurry thick. Flare not working.</t>
  </si>
  <si>
    <t>Hydrolysis slurry thick. pH probe working very slowly.</t>
  </si>
  <si>
    <t>Smell of biogas in parking lot &amp; 0% gas in AD. Ice &amp; snow ripped off electrical lines to AD sensors. Electrical lines repaired. Ops back to normal, flare functioning.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</si>
</sst>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m/d/yy\ h:mm;@"/>
    <numFmt numFmtId="165" formatCode="0.0"/>
    <numFmt numFmtId="166" formatCode="_(* #,##0_);_(* \(#,##0\);_(* &quot;-&quot;??_);_(@_)"/>
  </numFmts>
  <fonts count="13" x14ac:knownFonts="1">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4"/>
      <color theme="1"/>
      <name val="Calibri"/>
      <scheme val="minor"/>
    </font>
    <font>
      <sz val="12"/>
      <color rgb="FF000000"/>
      <name val="Calibri"/>
      <family val="2"/>
      <scheme val="minor"/>
    </font>
    <font>
      <b/>
      <sz val="12"/>
      <color rgb="FF000000"/>
      <name val="Calibri"/>
      <scheme val="minor"/>
    </font>
    <font>
      <b/>
      <sz val="14"/>
      <color rgb="FF0000FF"/>
      <name val="Calibri"/>
      <scheme val="minor"/>
    </font>
    <font>
      <sz val="12"/>
      <color rgb="FF0000FF"/>
      <name val="Calibri"/>
      <scheme val="minor"/>
    </font>
    <font>
      <sz val="12"/>
      <name val="Calibri"/>
      <scheme val="minor"/>
    </font>
    <font>
      <b/>
      <sz val="14"/>
      <name val="Calibri"/>
      <scheme val="minor"/>
    </font>
    <font>
      <b/>
      <sz val="12"/>
      <name val="Calibri"/>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
    <border>
      <left/>
      <right/>
      <top/>
      <bottom/>
      <diagonal/>
    </border>
  </borders>
  <cellStyleXfs count="148">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99">
    <xf numFmtId="0" fontId="0" fillId="0" borderId="0" xfId="0"/>
    <xf numFmtId="0" fontId="0" fillId="0" borderId="0" xfId="0" applyAlignment="1">
      <alignment horizontal="center"/>
    </xf>
    <xf numFmtId="165" fontId="0" fillId="0" borderId="0" xfId="0" applyNumberFormat="1" applyAlignment="1">
      <alignment horizontal="center"/>
    </xf>
    <xf numFmtId="2" fontId="0" fillId="0" borderId="0" xfId="0" applyNumberFormat="1" applyAlignment="1">
      <alignment horizontal="center"/>
    </xf>
    <xf numFmtId="1" fontId="0" fillId="0" borderId="0" xfId="0" applyNumberFormat="1"/>
    <xf numFmtId="2" fontId="0" fillId="0" borderId="0" xfId="0" applyNumberFormat="1"/>
    <xf numFmtId="166" fontId="0" fillId="0" borderId="0" xfId="1" applyNumberFormat="1" applyFont="1"/>
    <xf numFmtId="0" fontId="2" fillId="0" borderId="0" xfId="0" applyFont="1"/>
    <xf numFmtId="166" fontId="2" fillId="0" borderId="0" xfId="1" applyNumberFormat="1" applyFont="1"/>
    <xf numFmtId="0" fontId="5" fillId="0" borderId="0" xfId="0" applyFont="1"/>
    <xf numFmtId="0" fontId="5" fillId="0" borderId="0" xfId="0" applyFont="1" applyAlignment="1">
      <alignment horizontal="center"/>
    </xf>
    <xf numFmtId="166" fontId="5" fillId="0" borderId="0" xfId="1" applyNumberFormat="1" applyFont="1"/>
    <xf numFmtId="165" fontId="5" fillId="0" borderId="0" xfId="0" applyNumberFormat="1" applyFont="1" applyAlignment="1">
      <alignment horizontal="center"/>
    </xf>
    <xf numFmtId="165" fontId="2" fillId="0" borderId="0" xfId="1" applyNumberFormat="1" applyFont="1" applyAlignment="1">
      <alignment horizontal="center"/>
    </xf>
    <xf numFmtId="2" fontId="2" fillId="0" borderId="0" xfId="1" applyNumberFormat="1" applyFont="1" applyAlignment="1">
      <alignment horizontal="center"/>
    </xf>
    <xf numFmtId="2" fontId="7" fillId="0" borderId="0" xfId="0" applyNumberFormat="1" applyFont="1"/>
    <xf numFmtId="166" fontId="7" fillId="0" borderId="0" xfId="1" applyNumberFormat="1" applyFont="1"/>
    <xf numFmtId="0" fontId="6" fillId="0" borderId="0" xfId="0" applyFont="1"/>
    <xf numFmtId="0" fontId="7" fillId="0" borderId="0" xfId="0" applyFont="1"/>
    <xf numFmtId="1" fontId="5" fillId="0" borderId="0" xfId="0" applyNumberFormat="1" applyFont="1" applyAlignment="1">
      <alignment horizontal="center"/>
    </xf>
    <xf numFmtId="1" fontId="6" fillId="0" borderId="0" xfId="0" applyNumberFormat="1" applyFont="1"/>
    <xf numFmtId="1" fontId="7" fillId="0" borderId="0" xfId="0" applyNumberFormat="1" applyFont="1"/>
    <xf numFmtId="1" fontId="0" fillId="0" borderId="0" xfId="0" applyNumberFormat="1" applyAlignment="1">
      <alignment horizontal="center"/>
    </xf>
    <xf numFmtId="0" fontId="2" fillId="0" borderId="0" xfId="0" applyFont="1" applyAlignment="1">
      <alignment horizontal="right" wrapText="1"/>
    </xf>
    <xf numFmtId="164" fontId="2" fillId="0" borderId="0" xfId="0" applyNumberFormat="1" applyFont="1" applyAlignment="1">
      <alignment horizontal="right" wrapText="1"/>
    </xf>
    <xf numFmtId="166" fontId="2" fillId="0" borderId="0" xfId="1" applyNumberFormat="1" applyFont="1" applyAlignment="1">
      <alignment horizontal="right" wrapText="1"/>
    </xf>
    <xf numFmtId="165" fontId="2" fillId="0" borderId="0" xfId="0" applyNumberFormat="1" applyFont="1" applyAlignment="1">
      <alignment horizontal="center" wrapText="1"/>
    </xf>
    <xf numFmtId="164" fontId="7" fillId="0" borderId="0" xfId="0" applyNumberFormat="1" applyFont="1" applyAlignment="1">
      <alignment horizontal="right" wrapText="1"/>
    </xf>
    <xf numFmtId="2" fontId="2" fillId="0" borderId="0" xfId="0" applyNumberFormat="1" applyFont="1" applyAlignment="1">
      <alignment horizontal="center" wrapText="1"/>
    </xf>
    <xf numFmtId="0" fontId="2" fillId="0" borderId="0" xfId="0" applyFont="1" applyAlignment="1">
      <alignment horizontal="center" wrapText="1"/>
    </xf>
    <xf numFmtId="1" fontId="7" fillId="0" borderId="0" xfId="0" applyNumberFormat="1" applyFont="1" applyAlignment="1">
      <alignment horizontal="right" wrapText="1"/>
    </xf>
    <xf numFmtId="1" fontId="2" fillId="0" borderId="0" xfId="0" applyNumberFormat="1" applyFont="1" applyAlignment="1">
      <alignment horizontal="right" wrapText="1"/>
    </xf>
    <xf numFmtId="166" fontId="2" fillId="0" borderId="0" xfId="1" applyNumberFormat="1" applyFont="1" applyFill="1" applyBorder="1" applyAlignment="1">
      <alignment horizontal="right" wrapText="1"/>
    </xf>
    <xf numFmtId="166" fontId="8" fillId="0" borderId="0" xfId="1" applyNumberFormat="1" applyFont="1"/>
    <xf numFmtId="165" fontId="8" fillId="0" borderId="0" xfId="0" applyNumberFormat="1" applyFont="1" applyAlignment="1">
      <alignment horizontal="center"/>
    </xf>
    <xf numFmtId="166" fontId="9" fillId="0" borderId="0" xfId="1" applyNumberFormat="1" applyFont="1"/>
    <xf numFmtId="165" fontId="9" fillId="0" borderId="0" xfId="0" applyNumberFormat="1" applyFont="1" applyAlignment="1">
      <alignment horizontal="center"/>
    </xf>
    <xf numFmtId="0" fontId="8" fillId="0" borderId="0" xfId="0" applyFont="1" applyFill="1"/>
    <xf numFmtId="0" fontId="8" fillId="0" borderId="0" xfId="0" applyFont="1" applyFill="1" applyAlignment="1">
      <alignment horizontal="center"/>
    </xf>
    <xf numFmtId="0" fontId="9" fillId="0" borderId="0" xfId="0" applyFont="1" applyFill="1"/>
    <xf numFmtId="0" fontId="9" fillId="0" borderId="0" xfId="0" applyFont="1" applyFill="1" applyAlignment="1">
      <alignment horizontal="center"/>
    </xf>
    <xf numFmtId="0" fontId="8" fillId="0" borderId="0" xfId="0" applyFont="1"/>
    <xf numFmtId="0" fontId="9" fillId="0" borderId="0" xfId="0" applyFont="1"/>
    <xf numFmtId="2" fontId="9" fillId="0" borderId="0" xfId="0" applyNumberFormat="1" applyFont="1"/>
    <xf numFmtId="2" fontId="8" fillId="0" borderId="0" xfId="0" applyNumberFormat="1" applyFont="1"/>
    <xf numFmtId="2" fontId="10" fillId="0" borderId="0" xfId="0" applyNumberFormat="1" applyFont="1"/>
    <xf numFmtId="166" fontId="11" fillId="0" borderId="0" xfId="1" applyNumberFormat="1" applyFont="1"/>
    <xf numFmtId="166" fontId="12" fillId="0" borderId="0" xfId="1" applyNumberFormat="1" applyFont="1" applyFill="1" applyBorder="1" applyAlignment="1">
      <alignment horizontal="right" wrapText="1"/>
    </xf>
    <xf numFmtId="166" fontId="10" fillId="0" borderId="0" xfId="1" applyNumberFormat="1" applyFont="1"/>
    <xf numFmtId="166" fontId="12" fillId="0" borderId="0" xfId="1" applyNumberFormat="1" applyFont="1"/>
    <xf numFmtId="165" fontId="12" fillId="0" borderId="0" xfId="0" applyNumberFormat="1" applyFont="1" applyAlignment="1">
      <alignment horizontal="center" wrapText="1"/>
    </xf>
    <xf numFmtId="0" fontId="12" fillId="0" borderId="0" xfId="0" applyFont="1" applyFill="1" applyAlignment="1">
      <alignment horizontal="right" wrapText="1"/>
    </xf>
    <xf numFmtId="2" fontId="12" fillId="0" borderId="0" xfId="0" applyNumberFormat="1" applyFont="1" applyFill="1" applyAlignment="1">
      <alignment horizontal="center" wrapText="1"/>
    </xf>
    <xf numFmtId="0" fontId="12" fillId="0" borderId="0" xfId="0" applyFont="1" applyFill="1" applyAlignment="1">
      <alignment horizontal="center" wrapText="1"/>
    </xf>
    <xf numFmtId="1" fontId="12" fillId="0" borderId="0" xfId="0" applyNumberFormat="1" applyFont="1" applyAlignment="1">
      <alignment horizontal="right" wrapText="1"/>
    </xf>
    <xf numFmtId="0" fontId="12" fillId="0" borderId="0" xfId="0" applyFont="1" applyAlignment="1">
      <alignment horizontal="right" wrapText="1"/>
    </xf>
    <xf numFmtId="2" fontId="12" fillId="0" borderId="0" xfId="0" applyNumberFormat="1" applyFont="1" applyAlignment="1">
      <alignment horizontal="right" wrapText="1"/>
    </xf>
    <xf numFmtId="0" fontId="12" fillId="0" borderId="0" xfId="0" applyFont="1"/>
    <xf numFmtId="165" fontId="12" fillId="0" borderId="0" xfId="1" applyNumberFormat="1" applyFont="1" applyAlignment="1">
      <alignment horizontal="center"/>
    </xf>
    <xf numFmtId="166" fontId="12" fillId="0" borderId="0" xfId="1" applyNumberFormat="1" applyFont="1" applyFill="1"/>
    <xf numFmtId="2" fontId="12" fillId="0" borderId="0" xfId="1" applyNumberFormat="1" applyFont="1" applyFill="1" applyAlignment="1">
      <alignment horizontal="center"/>
    </xf>
    <xf numFmtId="1" fontId="10" fillId="0" borderId="0" xfId="0" applyNumberFormat="1" applyFont="1" applyAlignment="1">
      <alignment horizontal="center"/>
    </xf>
    <xf numFmtId="2" fontId="12" fillId="0" borderId="0" xfId="0" applyNumberFormat="1" applyFont="1"/>
    <xf numFmtId="3" fontId="5" fillId="0" borderId="0" xfId="1" applyNumberFormat="1" applyFont="1"/>
    <xf numFmtId="3" fontId="2" fillId="0" borderId="0" xfId="1" applyNumberFormat="1" applyFont="1" applyAlignment="1">
      <alignment horizontal="right" wrapText="1"/>
    </xf>
    <xf numFmtId="3" fontId="0" fillId="0" borderId="0" xfId="0" applyNumberFormat="1"/>
    <xf numFmtId="3" fontId="0" fillId="0" borderId="0" xfId="1" applyNumberFormat="1" applyFont="1"/>
    <xf numFmtId="3" fontId="2" fillId="0" borderId="0" xfId="1" applyNumberFormat="1" applyFont="1"/>
    <xf numFmtId="2" fontId="5" fillId="0" borderId="0" xfId="0" applyNumberFormat="1" applyFont="1"/>
    <xf numFmtId="2" fontId="2" fillId="0" borderId="0" xfId="0" applyNumberFormat="1" applyFont="1" applyAlignment="1">
      <alignment horizontal="right" wrapText="1"/>
    </xf>
    <xf numFmtId="3" fontId="5" fillId="0" borderId="0" xfId="0" applyNumberFormat="1" applyFont="1"/>
    <xf numFmtId="3" fontId="2" fillId="0" borderId="0" xfId="0" applyNumberFormat="1" applyFont="1" applyAlignment="1">
      <alignment horizontal="right" wrapText="1"/>
    </xf>
    <xf numFmtId="2" fontId="5" fillId="0" borderId="0" xfId="0" applyNumberFormat="1" applyFont="1" applyAlignment="1">
      <alignment horizontal="center"/>
    </xf>
    <xf numFmtId="165" fontId="0" fillId="0" borderId="0" xfId="0" applyNumberFormat="1"/>
    <xf numFmtId="1" fontId="2" fillId="0" borderId="0" xfId="0" applyNumberFormat="1" applyFont="1" applyAlignment="1">
      <alignment horizontal="center" wrapText="1"/>
    </xf>
    <xf numFmtId="1" fontId="2" fillId="0" borderId="0" xfId="1" applyNumberFormat="1" applyFont="1" applyAlignment="1">
      <alignment horizontal="center"/>
    </xf>
    <xf numFmtId="2" fontId="2" fillId="0" borderId="0" xfId="0" applyNumberFormat="1" applyFont="1"/>
    <xf numFmtId="3" fontId="2" fillId="0" borderId="0" xfId="1" applyNumberFormat="1" applyFont="1" applyFill="1" applyBorder="1" applyAlignment="1">
      <alignment horizontal="right" wrapText="1"/>
    </xf>
    <xf numFmtId="3" fontId="7" fillId="0" borderId="0" xfId="1" applyNumberFormat="1" applyFont="1"/>
    <xf numFmtId="3" fontId="2" fillId="0" borderId="0" xfId="0" applyNumberFormat="1" applyFont="1"/>
    <xf numFmtId="165" fontId="0" fillId="0" borderId="0" xfId="0" applyNumberFormat="1" applyAlignment="1">
      <alignment horizontal="right"/>
    </xf>
    <xf numFmtId="1" fontId="0" fillId="0" borderId="0" xfId="0" applyNumberFormat="1" applyAlignment="1">
      <alignment horizontal="right"/>
    </xf>
    <xf numFmtId="166" fontId="12" fillId="0" borderId="0" xfId="1" applyNumberFormat="1" applyFont="1" applyAlignment="1">
      <alignment horizontal="right" wrapText="1"/>
    </xf>
    <xf numFmtId="0" fontId="0" fillId="0" borderId="0" xfId="0" applyFill="1"/>
    <xf numFmtId="0" fontId="0" fillId="0" borderId="0" xfId="0" applyFont="1"/>
    <xf numFmtId="1" fontId="0" fillId="0" borderId="0" xfId="0" applyNumberFormat="1" applyFont="1"/>
    <xf numFmtId="3" fontId="6" fillId="0" borderId="0" xfId="0" applyNumberFormat="1" applyFont="1"/>
    <xf numFmtId="9" fontId="0" fillId="0" borderId="0" xfId="0" applyNumberFormat="1" applyFill="1"/>
    <xf numFmtId="3" fontId="10" fillId="0" borderId="0" xfId="0" applyNumberFormat="1" applyFont="1"/>
    <xf numFmtId="3" fontId="10" fillId="0" borderId="0" xfId="1" applyNumberFormat="1" applyFont="1"/>
    <xf numFmtId="2" fontId="0" fillId="0" borderId="0" xfId="0" applyNumberFormat="1" applyAlignment="1"/>
    <xf numFmtId="0" fontId="0" fillId="0" borderId="0" xfId="0" applyAlignment="1">
      <alignment horizontal="right"/>
    </xf>
    <xf numFmtId="3" fontId="0" fillId="0" borderId="0" xfId="0" applyNumberFormat="1" applyFont="1"/>
    <xf numFmtId="0" fontId="0" fillId="2" borderId="0" xfId="0" applyFont="1" applyFill="1"/>
    <xf numFmtId="0" fontId="0" fillId="2" borderId="0" xfId="0" applyFill="1"/>
    <xf numFmtId="2" fontId="0" fillId="2" borderId="0" xfId="0" applyNumberFormat="1" applyFill="1" applyAlignment="1">
      <alignment horizontal="center"/>
    </xf>
    <xf numFmtId="3" fontId="0" fillId="3" borderId="0" xfId="0" applyNumberFormat="1" applyFill="1"/>
    <xf numFmtId="0" fontId="0" fillId="3" borderId="0" xfId="0" applyFill="1"/>
    <xf numFmtId="1" fontId="6" fillId="2" borderId="0" xfId="0" applyNumberFormat="1" applyFont="1" applyFill="1"/>
  </cellXfs>
  <cellStyles count="148">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Normal" xfId="0" builtinId="0"/>
  </cellStyles>
  <dxfs count="10">
    <dxf>
      <font>
        <color rgb="FFC00000"/>
      </font>
      <fill>
        <patternFill>
          <bgColor rgb="FFFFEB9C"/>
        </patternFill>
      </fill>
    </dxf>
    <dxf>
      <font>
        <color rgb="FFC00000"/>
      </font>
      <fill>
        <patternFill>
          <bgColor rgb="FFFFEB9C"/>
        </patternFill>
      </fill>
    </dxf>
    <dxf>
      <font>
        <color theme="1"/>
      </font>
      <fill>
        <patternFill patternType="none">
          <bgColor auto="1"/>
        </patternFill>
      </fill>
    </dxf>
    <dxf>
      <font>
        <color theme="1"/>
      </font>
      <fill>
        <patternFill>
          <bgColor rgb="FFFFB3B3"/>
        </patternFill>
      </fill>
    </dxf>
    <dxf>
      <font>
        <color rgb="FFC00000"/>
      </font>
      <fill>
        <patternFill>
          <bgColor rgb="FFFFEB9C"/>
        </patternFill>
      </fill>
    </dxf>
    <dxf>
      <font>
        <color rgb="FFC00000"/>
      </font>
      <fill>
        <patternFill>
          <bgColor rgb="FFFFEB9C"/>
        </patternFill>
      </fill>
    </dxf>
    <dxf>
      <font>
        <color theme="1"/>
      </font>
      <fill>
        <patternFill patternType="none">
          <bgColor auto="1"/>
        </patternFill>
      </fill>
    </dxf>
    <dxf>
      <font>
        <color rgb="FFC00000"/>
      </font>
      <fill>
        <patternFill>
          <bgColor rgb="FFFFEB9C"/>
        </patternFill>
      </fill>
    </dxf>
    <dxf>
      <font>
        <color rgb="FFC00000"/>
      </font>
      <fill>
        <patternFill>
          <bgColor rgb="FFFFEB9C"/>
        </patternFill>
      </fill>
    </dxf>
    <dxf>
      <font>
        <color theme="1"/>
      </font>
      <fill>
        <patternFill patternType="none">
          <bgColor auto="1"/>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theme" Target="theme/theme1.xml"/><Relationship Id="rId21" Type="http://schemas.openxmlformats.org/officeDocument/2006/relationships/styles" Target="styles.xml"/><Relationship Id="rId22" Type="http://schemas.openxmlformats.org/officeDocument/2006/relationships/sharedStrings" Target="sharedStrings.xml"/><Relationship Id="rId23"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externalLink" Target="externalLinks/externalLink1.xml"/><Relationship Id="rId15" Type="http://schemas.openxmlformats.org/officeDocument/2006/relationships/externalLink" Target="externalLinks/externalLink2.xml"/><Relationship Id="rId16" Type="http://schemas.openxmlformats.org/officeDocument/2006/relationships/externalLink" Target="externalLinks/externalLink3.xml"/><Relationship Id="rId17" Type="http://schemas.openxmlformats.org/officeDocument/2006/relationships/externalLink" Target="externalLinks/externalLink4.xml"/><Relationship Id="rId18" Type="http://schemas.openxmlformats.org/officeDocument/2006/relationships/externalLink" Target="externalLinks/externalLink5.xml"/><Relationship Id="rId19" Type="http://schemas.openxmlformats.org/officeDocument/2006/relationships/externalLink" Target="externalLinks/externalLink6.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strRef>
              <c:f>'Jan''15'!$C$2</c:f>
              <c:strCache>
                <c:ptCount val="1"/>
                <c:pt idx="0">
                  <c:v>biogas consumed (m3/day)</c:v>
                </c:pt>
              </c:strCache>
            </c:strRef>
          </c:tx>
          <c:spPr>
            <a:ln w="47625">
              <a:noFill/>
            </a:ln>
          </c:spPr>
          <c:invertIfNegative val="0"/>
          <c:cat>
            <c:numRef>
              <c:f>'Jan''15'!$B$3:$B$33</c:f>
              <c:numCache>
                <c:formatCode>0</c:formatCode>
                <c:ptCount val="31"/>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numCache>
            </c:numRef>
          </c:cat>
          <c:val>
            <c:numRef>
              <c:f>'Jan''15'!$C$3:$C$33</c:f>
              <c:numCache>
                <c:formatCode>#,##0</c:formatCode>
                <c:ptCount val="31"/>
                <c:pt idx="1">
                  <c:v>979.0994764421775</c:v>
                </c:pt>
                <c:pt idx="4">
                  <c:v>647.7508650508593</c:v>
                </c:pt>
                <c:pt idx="5">
                  <c:v>906.5567010331038</c:v>
                </c:pt>
                <c:pt idx="6">
                  <c:v>1546.666666666667</c:v>
                </c:pt>
                <c:pt idx="7">
                  <c:v>519.2408759115262</c:v>
                </c:pt>
                <c:pt idx="8">
                  <c:v>892.9932885933947</c:v>
                </c:pt>
                <c:pt idx="9">
                  <c:v>1000.109589039501</c:v>
                </c:pt>
                <c:pt idx="10">
                  <c:v>892.2531645595917</c:v>
                </c:pt>
                <c:pt idx="11">
                  <c:v>816.275635765307</c:v>
                </c:pt>
                <c:pt idx="12">
                  <c:v>648.5420944533716</c:v>
                </c:pt>
                <c:pt idx="13">
                  <c:v>856.2684563785148</c:v>
                </c:pt>
                <c:pt idx="14">
                  <c:v>1048.23529411675</c:v>
                </c:pt>
                <c:pt idx="15">
                  <c:v>868.7058823529412</c:v>
                </c:pt>
                <c:pt idx="16">
                  <c:v>938.057142860263</c:v>
                </c:pt>
                <c:pt idx="17">
                  <c:v>920.6292134789312</c:v>
                </c:pt>
                <c:pt idx="18">
                  <c:v>541.4399999999999</c:v>
                </c:pt>
                <c:pt idx="19">
                  <c:v>690.5722070858926</c:v>
                </c:pt>
                <c:pt idx="21">
                  <c:v>529.1690544420109</c:v>
                </c:pt>
                <c:pt idx="22">
                  <c:v>543.6734693864634</c:v>
                </c:pt>
                <c:pt idx="23">
                  <c:v>662.8881355937435</c:v>
                </c:pt>
                <c:pt idx="24">
                  <c:v>565.8233215538393</c:v>
                </c:pt>
                <c:pt idx="25">
                  <c:v>598.5480427041303</c:v>
                </c:pt>
                <c:pt idx="26">
                  <c:v>612.4675324670695</c:v>
                </c:pt>
                <c:pt idx="27">
                  <c:v>0.0</c:v>
                </c:pt>
                <c:pt idx="28">
                  <c:v>1478.4</c:v>
                </c:pt>
                <c:pt idx="29">
                  <c:v>719.5151515151515</c:v>
                </c:pt>
                <c:pt idx="30">
                  <c:v>761.6</c:v>
                </c:pt>
              </c:numCache>
            </c:numRef>
          </c:val>
        </c:ser>
        <c:dLbls>
          <c:showLegendKey val="0"/>
          <c:showVal val="0"/>
          <c:showCatName val="0"/>
          <c:showSerName val="0"/>
          <c:showPercent val="0"/>
          <c:showBubbleSize val="0"/>
        </c:dLbls>
        <c:gapWidth val="10"/>
        <c:axId val="2097499864"/>
        <c:axId val="2097502840"/>
      </c:barChart>
      <c:scatterChart>
        <c:scatterStyle val="lineMarker"/>
        <c:varyColors val="0"/>
        <c:ser>
          <c:idx val="1"/>
          <c:order val="1"/>
          <c:tx>
            <c:strRef>
              <c:f>'Jan''15'!$D$2</c:f>
              <c:strCache>
                <c:ptCount val="1"/>
                <c:pt idx="0">
                  <c:v>CH4 (%)</c:v>
                </c:pt>
              </c:strCache>
            </c:strRef>
          </c:tx>
          <c:spPr>
            <a:ln w="47625">
              <a:noFill/>
            </a:ln>
          </c:spPr>
          <c:marker>
            <c:symbol val="square"/>
            <c:size val="9"/>
            <c:spPr>
              <a:solidFill>
                <a:schemeClr val="bg1"/>
              </a:solidFill>
              <a:ln w="19050" cmpd="sng">
                <a:solidFill>
                  <a:srgbClr val="0000FF"/>
                </a:solidFill>
              </a:ln>
            </c:spPr>
          </c:marker>
          <c:xVal>
            <c:numRef>
              <c:f>'Jan''15'!$B$3:$B$33</c:f>
              <c:numCache>
                <c:formatCode>0</c:formatCode>
                <c:ptCount val="31"/>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numCache>
            </c:numRef>
          </c:xVal>
          <c:yVal>
            <c:numRef>
              <c:f>'Jan''15'!$D$3:$D$33</c:f>
              <c:numCache>
                <c:formatCode>0.0</c:formatCode>
                <c:ptCount val="31"/>
                <c:pt idx="1">
                  <c:v>55.3</c:v>
                </c:pt>
                <c:pt idx="4">
                  <c:v>55.5</c:v>
                </c:pt>
                <c:pt idx="5">
                  <c:v>54.3</c:v>
                </c:pt>
                <c:pt idx="6">
                  <c:v>53.6</c:v>
                </c:pt>
                <c:pt idx="7">
                  <c:v>55.3</c:v>
                </c:pt>
                <c:pt idx="8">
                  <c:v>57.0</c:v>
                </c:pt>
                <c:pt idx="9">
                  <c:v>56.8</c:v>
                </c:pt>
                <c:pt idx="10">
                  <c:v>56.7</c:v>
                </c:pt>
                <c:pt idx="11">
                  <c:v>57.8</c:v>
                </c:pt>
                <c:pt idx="12">
                  <c:v>56.4</c:v>
                </c:pt>
                <c:pt idx="13">
                  <c:v>56.3</c:v>
                </c:pt>
                <c:pt idx="14">
                  <c:v>55.2</c:v>
                </c:pt>
                <c:pt idx="15">
                  <c:v>56.6</c:v>
                </c:pt>
                <c:pt idx="16">
                  <c:v>59.9</c:v>
                </c:pt>
                <c:pt idx="17">
                  <c:v>58.5</c:v>
                </c:pt>
                <c:pt idx="19">
                  <c:v>55.4</c:v>
                </c:pt>
                <c:pt idx="20">
                  <c:v>54.5</c:v>
                </c:pt>
                <c:pt idx="21">
                  <c:v>56.9</c:v>
                </c:pt>
                <c:pt idx="22">
                  <c:v>56.0</c:v>
                </c:pt>
                <c:pt idx="23">
                  <c:v>57.2</c:v>
                </c:pt>
                <c:pt idx="24">
                  <c:v>59.2</c:v>
                </c:pt>
                <c:pt idx="25">
                  <c:v>57.2</c:v>
                </c:pt>
                <c:pt idx="26">
                  <c:v>57.1</c:v>
                </c:pt>
                <c:pt idx="28">
                  <c:v>57.7</c:v>
                </c:pt>
                <c:pt idx="29">
                  <c:v>56.4</c:v>
                </c:pt>
                <c:pt idx="30">
                  <c:v>55.2</c:v>
                </c:pt>
              </c:numCache>
            </c:numRef>
          </c:yVal>
          <c:smooth val="0"/>
        </c:ser>
        <c:ser>
          <c:idx val="2"/>
          <c:order val="2"/>
          <c:tx>
            <c:strRef>
              <c:f>'Jan''15'!$E$2</c:f>
              <c:strCache>
                <c:ptCount val="1"/>
                <c:pt idx="0">
                  <c:v>H2S (ppm)</c:v>
                </c:pt>
              </c:strCache>
            </c:strRef>
          </c:tx>
          <c:spPr>
            <a:ln w="47625">
              <a:noFill/>
            </a:ln>
          </c:spPr>
          <c:marker>
            <c:symbol val="plus"/>
            <c:size val="9"/>
            <c:spPr>
              <a:ln>
                <a:solidFill>
                  <a:schemeClr val="tx1"/>
                </a:solidFill>
              </a:ln>
            </c:spPr>
          </c:marker>
          <c:dPt>
            <c:idx val="1"/>
            <c:marker>
              <c:spPr>
                <a:ln w="19050" cmpd="sng">
                  <a:solidFill>
                    <a:schemeClr val="tx1"/>
                  </a:solidFill>
                </a:ln>
              </c:spPr>
            </c:marker>
            <c:bubble3D val="0"/>
          </c:dPt>
          <c:xVal>
            <c:numRef>
              <c:f>'Jan''15'!$B$3:$B$33</c:f>
              <c:numCache>
                <c:formatCode>0</c:formatCode>
                <c:ptCount val="31"/>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numCache>
            </c:numRef>
          </c:xVal>
          <c:yVal>
            <c:numRef>
              <c:f>'Jan''15'!$E$3:$E$33</c:f>
              <c:numCache>
                <c:formatCode>0</c:formatCode>
                <c:ptCount val="31"/>
                <c:pt idx="1">
                  <c:v>115.0</c:v>
                </c:pt>
                <c:pt idx="4">
                  <c:v>60.0</c:v>
                </c:pt>
                <c:pt idx="5">
                  <c:v>180.0</c:v>
                </c:pt>
                <c:pt idx="6">
                  <c:v>225.0</c:v>
                </c:pt>
                <c:pt idx="7">
                  <c:v>235.0</c:v>
                </c:pt>
                <c:pt idx="8">
                  <c:v>225.0</c:v>
                </c:pt>
                <c:pt idx="9">
                  <c:v>220.0</c:v>
                </c:pt>
                <c:pt idx="10">
                  <c:v>235.0</c:v>
                </c:pt>
                <c:pt idx="11">
                  <c:v>245.0</c:v>
                </c:pt>
                <c:pt idx="12">
                  <c:v>205.0</c:v>
                </c:pt>
                <c:pt idx="13">
                  <c:v>160.0</c:v>
                </c:pt>
                <c:pt idx="14">
                  <c:v>180.0</c:v>
                </c:pt>
                <c:pt idx="15">
                  <c:v>175.0</c:v>
                </c:pt>
                <c:pt idx="16">
                  <c:v>155.0</c:v>
                </c:pt>
                <c:pt idx="17">
                  <c:v>240.0</c:v>
                </c:pt>
                <c:pt idx="19">
                  <c:v>50.0</c:v>
                </c:pt>
                <c:pt idx="20">
                  <c:v>120.0</c:v>
                </c:pt>
                <c:pt idx="21">
                  <c:v>120.0</c:v>
                </c:pt>
                <c:pt idx="22">
                  <c:v>100.0</c:v>
                </c:pt>
                <c:pt idx="23">
                  <c:v>95.0</c:v>
                </c:pt>
                <c:pt idx="24">
                  <c:v>150.0</c:v>
                </c:pt>
                <c:pt idx="25">
                  <c:v>155.0</c:v>
                </c:pt>
                <c:pt idx="26">
                  <c:v>180.0</c:v>
                </c:pt>
                <c:pt idx="28">
                  <c:v>205.0</c:v>
                </c:pt>
                <c:pt idx="29">
                  <c:v>185.0</c:v>
                </c:pt>
                <c:pt idx="30">
                  <c:v>150.0</c:v>
                </c:pt>
              </c:numCache>
            </c:numRef>
          </c:yVal>
          <c:smooth val="0"/>
        </c:ser>
        <c:dLbls>
          <c:showLegendKey val="0"/>
          <c:showVal val="0"/>
          <c:showCatName val="0"/>
          <c:showSerName val="0"/>
          <c:showPercent val="0"/>
          <c:showBubbleSize val="0"/>
        </c:dLbls>
        <c:axId val="2097514552"/>
        <c:axId val="2097508824"/>
      </c:scatterChart>
      <c:catAx>
        <c:axId val="2097499864"/>
        <c:scaling>
          <c:orientation val="minMax"/>
        </c:scaling>
        <c:delete val="0"/>
        <c:axPos val="b"/>
        <c:numFmt formatCode="0" sourceLinked="1"/>
        <c:majorTickMark val="out"/>
        <c:minorTickMark val="none"/>
        <c:tickLblPos val="nextTo"/>
        <c:crossAx val="2097502840"/>
        <c:crosses val="autoZero"/>
        <c:auto val="1"/>
        <c:lblAlgn val="ctr"/>
        <c:lblOffset val="100"/>
        <c:noMultiLvlLbl val="1"/>
      </c:catAx>
      <c:valAx>
        <c:axId val="2097502840"/>
        <c:scaling>
          <c:orientation val="minMax"/>
          <c:max val="3000.0"/>
        </c:scaling>
        <c:delete val="0"/>
        <c:axPos val="l"/>
        <c:title>
          <c:tx>
            <c:rich>
              <a:bodyPr rot="-5400000" vert="horz"/>
              <a:lstStyle/>
              <a:p>
                <a:pPr>
                  <a:defRPr sz="1200"/>
                </a:pPr>
                <a:r>
                  <a:rPr lang="en-US" sz="1200"/>
                  <a:t>biogas volume</a:t>
                </a:r>
                <a:r>
                  <a:rPr lang="en-US" sz="1200" baseline="0"/>
                  <a:t> (m3/day)</a:t>
                </a:r>
                <a:endParaRPr lang="en-US" sz="1200"/>
              </a:p>
            </c:rich>
          </c:tx>
          <c:layout/>
          <c:overlay val="0"/>
        </c:title>
        <c:numFmt formatCode="#,##0" sourceLinked="1"/>
        <c:majorTickMark val="out"/>
        <c:minorTickMark val="none"/>
        <c:tickLblPos val="nextTo"/>
        <c:txPr>
          <a:bodyPr/>
          <a:lstStyle/>
          <a:p>
            <a:pPr>
              <a:defRPr sz="1200"/>
            </a:pPr>
            <a:endParaRPr lang="en-US"/>
          </a:p>
        </c:txPr>
        <c:crossAx val="2097499864"/>
        <c:crosses val="autoZero"/>
        <c:crossBetween val="between"/>
      </c:valAx>
      <c:valAx>
        <c:axId val="2097508824"/>
        <c:scaling>
          <c:orientation val="minMax"/>
          <c:max val="600.0"/>
          <c:min val="0.0"/>
        </c:scaling>
        <c:delete val="0"/>
        <c:axPos val="r"/>
        <c:title>
          <c:tx>
            <c:rich>
              <a:bodyPr rot="-5400000" vert="horz"/>
              <a:lstStyle/>
              <a:p>
                <a:pPr>
                  <a:defRPr sz="1200"/>
                </a:pPr>
                <a:r>
                  <a:rPr lang="en-US" sz="1200"/>
                  <a:t>methane (%), H2S</a:t>
                </a:r>
                <a:r>
                  <a:rPr lang="en-US" sz="1200" baseline="0"/>
                  <a:t> (ppm</a:t>
                </a:r>
                <a:endParaRPr lang="en-US" sz="1200"/>
              </a:p>
            </c:rich>
          </c:tx>
          <c:layout/>
          <c:overlay val="0"/>
        </c:title>
        <c:numFmt formatCode="0.0" sourceLinked="1"/>
        <c:majorTickMark val="out"/>
        <c:minorTickMark val="none"/>
        <c:tickLblPos val="nextTo"/>
        <c:txPr>
          <a:bodyPr/>
          <a:lstStyle/>
          <a:p>
            <a:pPr>
              <a:defRPr sz="1200"/>
            </a:pPr>
            <a:endParaRPr lang="en-US"/>
          </a:p>
        </c:txPr>
        <c:crossAx val="2097514552"/>
        <c:crosses val="max"/>
        <c:crossBetween val="midCat"/>
      </c:valAx>
      <c:valAx>
        <c:axId val="2097514552"/>
        <c:scaling>
          <c:orientation val="minMax"/>
        </c:scaling>
        <c:delete val="1"/>
        <c:axPos val="b"/>
        <c:numFmt formatCode="0" sourceLinked="1"/>
        <c:majorTickMark val="out"/>
        <c:minorTickMark val="none"/>
        <c:tickLblPos val="nextTo"/>
        <c:crossAx val="2097508824"/>
        <c:crosses val="autoZero"/>
        <c:crossBetween val="midCat"/>
      </c:valAx>
      <c:spPr>
        <a:noFill/>
        <a:ln>
          <a:noFill/>
        </a:ln>
      </c:spPr>
    </c:plotArea>
    <c:legend>
      <c:legendPos val="r"/>
      <c:layout>
        <c:manualLayout>
          <c:xMode val="edge"/>
          <c:yMode val="edge"/>
          <c:x val="0.415245640307232"/>
          <c:y val="0.21637013464957"/>
          <c:w val="0.208409062364137"/>
          <c:h val="0.160703780319213"/>
        </c:manualLayout>
      </c:layout>
      <c:overlay val="0"/>
      <c:txPr>
        <a:bodyPr/>
        <a:lstStyle/>
        <a:p>
          <a:pPr>
            <a:defRPr sz="1200"/>
          </a:pPr>
          <a:endParaRPr lang="en-US"/>
        </a:p>
      </c:txPr>
    </c:legend>
    <c:plotVisOnly val="1"/>
    <c:dispBlanksAs val="gap"/>
    <c:showDLblsOverMax val="0"/>
  </c:chart>
  <c:spPr>
    <a:noFill/>
    <a:ln>
      <a:noFill/>
    </a:ln>
  </c:spPr>
  <c:printSettings>
    <c:headerFooter/>
    <c:pageMargins b="1.0" l="0.75" r="0.75" t="1.0"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1"/>
          <c:order val="1"/>
          <c:tx>
            <c:strRef>
              <c:f>'Mar''15'!$H$2</c:f>
              <c:strCache>
                <c:ptCount val="1"/>
                <c:pt idx="0">
                  <c:v>electricity produced (kWh/day)</c:v>
                </c:pt>
              </c:strCache>
            </c:strRef>
          </c:tx>
          <c:spPr>
            <a:ln w="47625">
              <a:noFill/>
            </a:ln>
          </c:spPr>
          <c:invertIfNegative val="0"/>
          <c:cat>
            <c:numRef>
              <c:f>'Mar''15'!$F$3:$F$33</c:f>
              <c:numCache>
                <c:formatCode>0</c:formatCode>
                <c:ptCount val="31"/>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formatCode="General">
                  <c:v>31.0</c:v>
                </c:pt>
              </c:numCache>
            </c:numRef>
          </c:cat>
          <c:val>
            <c:numRef>
              <c:f>'Mar''15'!$H$3:$H$33</c:f>
              <c:numCache>
                <c:formatCode>#,##0</c:formatCode>
                <c:ptCount val="31"/>
                <c:pt idx="0">
                  <c:v>4842.372413789215</c:v>
                </c:pt>
                <c:pt idx="1">
                  <c:v>4530.082191773597</c:v>
                </c:pt>
                <c:pt idx="2">
                  <c:v>4743.11111111111</c:v>
                </c:pt>
                <c:pt idx="3">
                  <c:v>4587.096774202161</c:v>
                </c:pt>
                <c:pt idx="4">
                  <c:v>4724.369747889916</c:v>
                </c:pt>
                <c:pt idx="5">
                  <c:v>4646.95164681301</c:v>
                </c:pt>
                <c:pt idx="6">
                  <c:v>4486.983713368661</c:v>
                </c:pt>
                <c:pt idx="7">
                  <c:v>4662.602230467128</c:v>
                </c:pt>
                <c:pt idx="8">
                  <c:v>5196.60606060606</c:v>
                </c:pt>
                <c:pt idx="9">
                  <c:v>4990.945054957825</c:v>
                </c:pt>
                <c:pt idx="10">
                  <c:v>4082.859145060897</c:v>
                </c:pt>
                <c:pt idx="11">
                  <c:v>4289.4915254068</c:v>
                </c:pt>
                <c:pt idx="12">
                  <c:v>2477.509727630948</c:v>
                </c:pt>
                <c:pt idx="13">
                  <c:v>5897.324503320352</c:v>
                </c:pt>
                <c:pt idx="14">
                  <c:v>5463.49815495808</c:v>
                </c:pt>
                <c:pt idx="15">
                  <c:v>6863.337931028973</c:v>
                </c:pt>
                <c:pt idx="16">
                  <c:v>6812.968421086026</c:v>
                </c:pt>
                <c:pt idx="17">
                  <c:v>6043.0</c:v>
                </c:pt>
                <c:pt idx="18">
                  <c:v>6786.382978689784</c:v>
                </c:pt>
                <c:pt idx="19">
                  <c:v>7876.923076966485</c:v>
                </c:pt>
                <c:pt idx="20">
                  <c:v>7886.004228302636</c:v>
                </c:pt>
                <c:pt idx="21">
                  <c:v>7453.812949615316</c:v>
                </c:pt>
                <c:pt idx="22">
                  <c:v>6893.131034527032</c:v>
                </c:pt>
                <c:pt idx="23">
                  <c:v>8554.703832724851</c:v>
                </c:pt>
                <c:pt idx="24">
                  <c:v>9027.543624189287</c:v>
                </c:pt>
                <c:pt idx="25">
                  <c:v>7995.270367669204</c:v>
                </c:pt>
                <c:pt idx="26">
                  <c:v>6522.64808365015</c:v>
                </c:pt>
                <c:pt idx="27">
                  <c:v>8059.226519308506</c:v>
                </c:pt>
                <c:pt idx="28">
                  <c:v>8101.608247442127</c:v>
                </c:pt>
                <c:pt idx="29">
                  <c:v>7303.201607476617</c:v>
                </c:pt>
                <c:pt idx="30">
                  <c:v>7277.180616755015</c:v>
                </c:pt>
              </c:numCache>
            </c:numRef>
          </c:val>
        </c:ser>
        <c:dLbls>
          <c:showLegendKey val="0"/>
          <c:showVal val="0"/>
          <c:showCatName val="0"/>
          <c:showSerName val="0"/>
          <c:showPercent val="0"/>
          <c:showBubbleSize val="0"/>
        </c:dLbls>
        <c:gapWidth val="10"/>
        <c:axId val="2105696024"/>
        <c:axId val="2105690504"/>
      </c:barChart>
      <c:scatterChart>
        <c:scatterStyle val="lineMarker"/>
        <c:varyColors val="0"/>
        <c:ser>
          <c:idx val="0"/>
          <c:order val="0"/>
          <c:tx>
            <c:strRef>
              <c:f>'Mar''15'!$G$2</c:f>
              <c:strCache>
                <c:ptCount val="1"/>
                <c:pt idx="0">
                  <c:v>electricity consumed (kWh/day)</c:v>
                </c:pt>
              </c:strCache>
            </c:strRef>
          </c:tx>
          <c:spPr>
            <a:ln w="47625">
              <a:noFill/>
            </a:ln>
          </c:spPr>
          <c:marker>
            <c:symbol val="circle"/>
            <c:size val="12"/>
            <c:spPr>
              <a:solidFill>
                <a:schemeClr val="bg1"/>
              </a:solidFill>
              <a:ln>
                <a:solidFill>
                  <a:srgbClr val="FF0000"/>
                </a:solidFill>
              </a:ln>
            </c:spPr>
          </c:marker>
          <c:xVal>
            <c:numRef>
              <c:f>'Mar''15'!$F$3:$F$33</c:f>
              <c:numCache>
                <c:formatCode>0</c:formatCode>
                <c:ptCount val="31"/>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formatCode="General">
                  <c:v>31.0</c:v>
                </c:pt>
              </c:numCache>
            </c:numRef>
          </c:xVal>
          <c:yVal>
            <c:numRef>
              <c:f>'Mar''15'!$G$3:$G$33</c:f>
              <c:numCache>
                <c:formatCode>#,##0</c:formatCode>
                <c:ptCount val="31"/>
                <c:pt idx="0">
                  <c:v>573.0206896547123</c:v>
                </c:pt>
                <c:pt idx="1">
                  <c:v>563.1780821908826</c:v>
                </c:pt>
                <c:pt idx="2">
                  <c:v>818.6666666666667</c:v>
                </c:pt>
                <c:pt idx="3">
                  <c:v>593.4193548398239</c:v>
                </c:pt>
                <c:pt idx="4">
                  <c:v>687.7310924356292</c:v>
                </c:pt>
                <c:pt idx="5">
                  <c:v>618.5844428873776</c:v>
                </c:pt>
                <c:pt idx="6">
                  <c:v>710.1498371357048</c:v>
                </c:pt>
                <c:pt idx="7">
                  <c:v>549.2342007415928</c:v>
                </c:pt>
                <c:pt idx="8">
                  <c:v>659.3939393939394</c:v>
                </c:pt>
                <c:pt idx="9">
                  <c:v>734.2417582436368</c:v>
                </c:pt>
                <c:pt idx="10">
                  <c:v>628.6755430976122</c:v>
                </c:pt>
                <c:pt idx="11">
                  <c:v>596.9491525400171</c:v>
                </c:pt>
                <c:pt idx="12">
                  <c:v>719.0661478612251</c:v>
                </c:pt>
                <c:pt idx="13">
                  <c:v>641.8013245043009</c:v>
                </c:pt>
                <c:pt idx="14">
                  <c:v>574.9372693702239</c:v>
                </c:pt>
                <c:pt idx="15">
                  <c:v>649.4896551718923</c:v>
                </c:pt>
                <c:pt idx="16">
                  <c:v>722.5263157930153</c:v>
                </c:pt>
                <c:pt idx="17">
                  <c:v>734.0</c:v>
                </c:pt>
                <c:pt idx="18">
                  <c:v>581.1063829758446</c:v>
                </c:pt>
                <c:pt idx="19">
                  <c:v>700.591715980192</c:v>
                </c:pt>
                <c:pt idx="20">
                  <c:v>724.5665961920065</c:v>
                </c:pt>
                <c:pt idx="21">
                  <c:v>600.863309350505</c:v>
                </c:pt>
                <c:pt idx="22">
                  <c:v>627.641379314376</c:v>
                </c:pt>
                <c:pt idx="23">
                  <c:v>662.299651565795</c:v>
                </c:pt>
                <c:pt idx="24">
                  <c:v>676.5100671162081</c:v>
                </c:pt>
                <c:pt idx="25">
                  <c:v>588.6661860107049</c:v>
                </c:pt>
                <c:pt idx="26">
                  <c:v>632.1951219537839</c:v>
                </c:pt>
                <c:pt idx="27">
                  <c:v>646.4088397767188</c:v>
                </c:pt>
                <c:pt idx="28">
                  <c:v>577.9793814446862</c:v>
                </c:pt>
                <c:pt idx="29">
                  <c:v>566.1620897502344</c:v>
                </c:pt>
                <c:pt idx="30">
                  <c:v>685.1101321599957</c:v>
                </c:pt>
              </c:numCache>
            </c:numRef>
          </c:yVal>
          <c:smooth val="0"/>
        </c:ser>
        <c:dLbls>
          <c:showLegendKey val="0"/>
          <c:showVal val="0"/>
          <c:showCatName val="0"/>
          <c:showSerName val="0"/>
          <c:showPercent val="0"/>
          <c:showBubbleSize val="0"/>
        </c:dLbls>
        <c:axId val="2105696024"/>
        <c:axId val="2105690504"/>
      </c:scatterChart>
      <c:catAx>
        <c:axId val="2105696024"/>
        <c:scaling>
          <c:orientation val="minMax"/>
        </c:scaling>
        <c:delete val="0"/>
        <c:axPos val="b"/>
        <c:numFmt formatCode="0" sourceLinked="1"/>
        <c:majorTickMark val="out"/>
        <c:minorTickMark val="none"/>
        <c:tickLblPos val="nextTo"/>
        <c:crossAx val="2105690504"/>
        <c:crosses val="autoZero"/>
        <c:auto val="1"/>
        <c:lblAlgn val="ctr"/>
        <c:lblOffset val="100"/>
        <c:noMultiLvlLbl val="1"/>
      </c:catAx>
      <c:valAx>
        <c:axId val="2105690504"/>
        <c:scaling>
          <c:orientation val="minMax"/>
          <c:max val="9000.0"/>
        </c:scaling>
        <c:delete val="0"/>
        <c:axPos val="l"/>
        <c:title>
          <c:tx>
            <c:rich>
              <a:bodyPr rot="-5400000" vert="horz"/>
              <a:lstStyle/>
              <a:p>
                <a:pPr>
                  <a:defRPr sz="1200"/>
                </a:pPr>
                <a:r>
                  <a:rPr lang="en-US" sz="1200"/>
                  <a:t>electricity</a:t>
                </a:r>
                <a:r>
                  <a:rPr lang="en-US" sz="1200" baseline="0"/>
                  <a:t> (kWh/day)</a:t>
                </a:r>
                <a:endParaRPr lang="en-US" sz="1200"/>
              </a:p>
            </c:rich>
          </c:tx>
          <c:layout/>
          <c:overlay val="0"/>
        </c:title>
        <c:numFmt formatCode="#,##0" sourceLinked="1"/>
        <c:majorTickMark val="out"/>
        <c:minorTickMark val="none"/>
        <c:tickLblPos val="nextTo"/>
        <c:txPr>
          <a:bodyPr/>
          <a:lstStyle/>
          <a:p>
            <a:pPr>
              <a:defRPr sz="1200"/>
            </a:pPr>
            <a:endParaRPr lang="en-US"/>
          </a:p>
        </c:txPr>
        <c:crossAx val="2105696024"/>
        <c:crosses val="autoZero"/>
        <c:crossBetween val="between"/>
      </c:valAx>
      <c:spPr>
        <a:noFill/>
        <a:ln>
          <a:noFill/>
        </a:ln>
      </c:spPr>
    </c:plotArea>
    <c:legend>
      <c:legendPos val="r"/>
      <c:layout>
        <c:manualLayout>
          <c:xMode val="edge"/>
          <c:yMode val="edge"/>
          <c:x val="0.125423646368528"/>
          <c:y val="0.0980470147672362"/>
          <c:w val="0.170488351118272"/>
          <c:h val="0.181357671733435"/>
        </c:manualLayout>
      </c:layout>
      <c:overlay val="0"/>
      <c:txPr>
        <a:bodyPr/>
        <a:lstStyle/>
        <a:p>
          <a:pPr>
            <a:defRPr sz="1200"/>
          </a:pPr>
          <a:endParaRPr lang="en-US"/>
        </a:p>
      </c:txPr>
    </c:legend>
    <c:plotVisOnly val="1"/>
    <c:dispBlanksAs val="gap"/>
    <c:showDLblsOverMax val="0"/>
  </c:chart>
  <c:spPr>
    <a:noFill/>
    <a:ln>
      <a:noFill/>
    </a:ln>
  </c:spPr>
  <c:printSettings>
    <c:headerFooter/>
    <c:pageMargins b="1.0" l="0.75" r="0.75" t="1.0"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lineMarker"/>
        <c:varyColors val="0"/>
        <c:ser>
          <c:idx val="0"/>
          <c:order val="0"/>
          <c:tx>
            <c:strRef>
              <c:f>'Jun''15'!$L$2</c:f>
              <c:strCache>
                <c:ptCount val="1"/>
                <c:pt idx="0">
                  <c:v>hydroylzer Ripley ratio</c:v>
                </c:pt>
              </c:strCache>
            </c:strRef>
          </c:tx>
          <c:spPr>
            <a:ln w="47625">
              <a:noFill/>
            </a:ln>
          </c:spPr>
          <c:xVal>
            <c:numRef>
              <c:f>'Jun''15'!$K$3:$K$32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xVal>
          <c:yVal>
            <c:numRef>
              <c:f>'Jun''15'!$L$3:$L$32</c:f>
              <c:numCache>
                <c:formatCode>General</c:formatCode>
                <c:ptCount val="30"/>
              </c:numCache>
            </c:numRef>
          </c:yVal>
          <c:smooth val="0"/>
        </c:ser>
        <c:ser>
          <c:idx val="1"/>
          <c:order val="1"/>
          <c:tx>
            <c:strRef>
              <c:f>'Mar''15'!$N$2</c:f>
              <c:strCache>
                <c:ptCount val="1"/>
                <c:pt idx="0">
                  <c:v>AD Ripley ratio</c:v>
                </c:pt>
              </c:strCache>
            </c:strRef>
          </c:tx>
          <c:spPr>
            <a:ln w="47625">
              <a:noFill/>
            </a:ln>
          </c:spPr>
          <c:xVal>
            <c:numRef>
              <c:f>'Mar''15'!$L$3:$L$33</c:f>
              <c:numCache>
                <c:formatCode>0</c:formatCode>
                <c:ptCount val="31"/>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numCache>
            </c:numRef>
          </c:xVal>
          <c:yVal>
            <c:numRef>
              <c:f>'Mar''15'!$N$3:$N$33</c:f>
              <c:numCache>
                <c:formatCode>0.00</c:formatCode>
                <c:ptCount val="31"/>
              </c:numCache>
            </c:numRef>
          </c:yVal>
          <c:smooth val="0"/>
        </c:ser>
        <c:dLbls>
          <c:showLegendKey val="0"/>
          <c:showVal val="0"/>
          <c:showCatName val="0"/>
          <c:showSerName val="0"/>
          <c:showPercent val="0"/>
          <c:showBubbleSize val="0"/>
        </c:dLbls>
        <c:axId val="2107308296"/>
        <c:axId val="2107311368"/>
      </c:scatterChart>
      <c:valAx>
        <c:axId val="2107308296"/>
        <c:scaling>
          <c:orientation val="minMax"/>
          <c:max val="30.0"/>
        </c:scaling>
        <c:delete val="0"/>
        <c:axPos val="b"/>
        <c:numFmt formatCode="0" sourceLinked="1"/>
        <c:majorTickMark val="out"/>
        <c:minorTickMark val="none"/>
        <c:tickLblPos val="nextTo"/>
        <c:crossAx val="2107311368"/>
        <c:crosses val="autoZero"/>
        <c:crossBetween val="midCat"/>
      </c:valAx>
      <c:valAx>
        <c:axId val="2107311368"/>
        <c:scaling>
          <c:orientation val="minMax"/>
          <c:max val="0.9"/>
        </c:scaling>
        <c:delete val="0"/>
        <c:axPos val="l"/>
        <c:title>
          <c:tx>
            <c:rich>
              <a:bodyPr rot="-5400000" vert="horz"/>
              <a:lstStyle/>
              <a:p>
                <a:pPr>
                  <a:defRPr sz="1200"/>
                </a:pPr>
                <a:r>
                  <a:rPr lang="en-US" sz="1200"/>
                  <a:t>Ripley ratio </a:t>
                </a:r>
              </a:p>
            </c:rich>
          </c:tx>
          <c:layout/>
          <c:overlay val="0"/>
        </c:title>
        <c:numFmt formatCode="General" sourceLinked="1"/>
        <c:majorTickMark val="out"/>
        <c:minorTickMark val="none"/>
        <c:tickLblPos val="nextTo"/>
        <c:txPr>
          <a:bodyPr/>
          <a:lstStyle/>
          <a:p>
            <a:pPr>
              <a:defRPr sz="1200" b="1" i="0"/>
            </a:pPr>
            <a:endParaRPr lang="en-US"/>
          </a:p>
        </c:txPr>
        <c:crossAx val="2107308296"/>
        <c:crosses val="autoZero"/>
        <c:crossBetween val="midCat"/>
      </c:valAx>
      <c:spPr>
        <a:noFill/>
        <a:ln>
          <a:noFill/>
        </a:ln>
      </c:spPr>
    </c:plotArea>
    <c:legend>
      <c:legendPos val="r"/>
      <c:layout>
        <c:manualLayout>
          <c:xMode val="edge"/>
          <c:yMode val="edge"/>
          <c:x val="0.639316449714546"/>
          <c:y val="0.0587552757081426"/>
          <c:w val="0.154123885247073"/>
          <c:h val="0.11282550582877"/>
        </c:manualLayout>
      </c:layout>
      <c:overlay val="0"/>
    </c:legend>
    <c:plotVisOnly val="1"/>
    <c:dispBlanksAs val="gap"/>
    <c:showDLblsOverMax val="0"/>
  </c:chart>
  <c:spPr>
    <a:noFill/>
    <a:ln>
      <a:noFill/>
    </a:ln>
  </c:spPr>
  <c:printSettings>
    <c:headerFooter/>
    <c:pageMargins b="1.0" l="0.75" r="0.75" t="1.0"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lineMarker"/>
        <c:varyColors val="0"/>
        <c:ser>
          <c:idx val="0"/>
          <c:order val="0"/>
          <c:tx>
            <c:strRef>
              <c:f>'Mar''15'!$J$2</c:f>
              <c:strCache>
                <c:ptCount val="1"/>
                <c:pt idx="0">
                  <c:v>Hydrolyzer pH</c:v>
                </c:pt>
              </c:strCache>
            </c:strRef>
          </c:tx>
          <c:spPr>
            <a:ln w="47625">
              <a:noFill/>
            </a:ln>
          </c:spPr>
          <c:marker>
            <c:symbol val="triangle"/>
            <c:size val="15"/>
            <c:spPr>
              <a:solidFill>
                <a:schemeClr val="bg1"/>
              </a:solidFill>
              <a:ln>
                <a:solidFill>
                  <a:srgbClr val="0000FF"/>
                </a:solidFill>
              </a:ln>
            </c:spPr>
          </c:marker>
          <c:xVal>
            <c:numRef>
              <c:f>'Mar''15'!$I$3:$I$33</c:f>
              <c:numCache>
                <c:formatCode>0</c:formatCode>
                <c:ptCount val="31"/>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numCache>
            </c:numRef>
          </c:xVal>
          <c:yVal>
            <c:numRef>
              <c:f>'Mar''15'!$J$3:$J$33</c:f>
              <c:numCache>
                <c:formatCode>0.00</c:formatCode>
                <c:ptCount val="31"/>
                <c:pt idx="0">
                  <c:v>5.19</c:v>
                </c:pt>
                <c:pt idx="1">
                  <c:v>5.16</c:v>
                </c:pt>
                <c:pt idx="3">
                  <c:v>5.3</c:v>
                </c:pt>
                <c:pt idx="4">
                  <c:v>5.41</c:v>
                </c:pt>
                <c:pt idx="5">
                  <c:v>5.61</c:v>
                </c:pt>
                <c:pt idx="6">
                  <c:v>5.59</c:v>
                </c:pt>
                <c:pt idx="7">
                  <c:v>5.61</c:v>
                </c:pt>
                <c:pt idx="9">
                  <c:v>5.57</c:v>
                </c:pt>
                <c:pt idx="10">
                  <c:v>5.42</c:v>
                </c:pt>
                <c:pt idx="11">
                  <c:v>5.56</c:v>
                </c:pt>
                <c:pt idx="12">
                  <c:v>5.57</c:v>
                </c:pt>
                <c:pt idx="13">
                  <c:v>5.69</c:v>
                </c:pt>
                <c:pt idx="14">
                  <c:v>5.57</c:v>
                </c:pt>
                <c:pt idx="17">
                  <c:v>5.47</c:v>
                </c:pt>
                <c:pt idx="18">
                  <c:v>5.48</c:v>
                </c:pt>
                <c:pt idx="19">
                  <c:v>5.51</c:v>
                </c:pt>
                <c:pt idx="21">
                  <c:v>5.15</c:v>
                </c:pt>
                <c:pt idx="22">
                  <c:v>5.17</c:v>
                </c:pt>
                <c:pt idx="23">
                  <c:v>5.08</c:v>
                </c:pt>
                <c:pt idx="24">
                  <c:v>5.03</c:v>
                </c:pt>
                <c:pt idx="25">
                  <c:v>5.05</c:v>
                </c:pt>
                <c:pt idx="26">
                  <c:v>5.06</c:v>
                </c:pt>
                <c:pt idx="27">
                  <c:v>4.89</c:v>
                </c:pt>
                <c:pt idx="28">
                  <c:v>4.91</c:v>
                </c:pt>
                <c:pt idx="29">
                  <c:v>4.92</c:v>
                </c:pt>
                <c:pt idx="30">
                  <c:v>4.92</c:v>
                </c:pt>
              </c:numCache>
            </c:numRef>
          </c:yVal>
          <c:smooth val="0"/>
        </c:ser>
        <c:ser>
          <c:idx val="1"/>
          <c:order val="1"/>
          <c:tx>
            <c:strRef>
              <c:f>'Mar''15'!$K$2</c:f>
              <c:strCache>
                <c:ptCount val="1"/>
                <c:pt idx="0">
                  <c:v>AD pH</c:v>
                </c:pt>
              </c:strCache>
            </c:strRef>
          </c:tx>
          <c:spPr>
            <a:ln w="25400">
              <a:noFill/>
            </a:ln>
          </c:spPr>
          <c:marker>
            <c:symbol val="triangle"/>
            <c:size val="15"/>
            <c:spPr>
              <a:solidFill>
                <a:srgbClr val="0000FF"/>
              </a:solidFill>
              <a:ln>
                <a:solidFill>
                  <a:srgbClr val="0000FF"/>
                </a:solidFill>
              </a:ln>
            </c:spPr>
          </c:marker>
          <c:xVal>
            <c:multiLvlStrRef>
              <c:f>'Mar''15'!$I$3:$J$33</c:f>
              <c:multiLvlStrCache>
                <c:ptCount val="31"/>
                <c:lvl>
                  <c:pt idx="0">
                    <c:v>5.19</c:v>
                  </c:pt>
                  <c:pt idx="1">
                    <c:v>5.16</c:v>
                  </c:pt>
                  <c:pt idx="3">
                    <c:v>5.30</c:v>
                  </c:pt>
                  <c:pt idx="4">
                    <c:v>5.41</c:v>
                  </c:pt>
                  <c:pt idx="5">
                    <c:v>5.61</c:v>
                  </c:pt>
                  <c:pt idx="6">
                    <c:v>5.59</c:v>
                  </c:pt>
                  <c:pt idx="7">
                    <c:v>5.61</c:v>
                  </c:pt>
                  <c:pt idx="9">
                    <c:v>5.57</c:v>
                  </c:pt>
                  <c:pt idx="10">
                    <c:v>5.42</c:v>
                  </c:pt>
                  <c:pt idx="11">
                    <c:v>5.56</c:v>
                  </c:pt>
                  <c:pt idx="12">
                    <c:v>5.57</c:v>
                  </c:pt>
                  <c:pt idx="13">
                    <c:v>5.69</c:v>
                  </c:pt>
                  <c:pt idx="14">
                    <c:v>5.57</c:v>
                  </c:pt>
                  <c:pt idx="17">
                    <c:v>5.47</c:v>
                  </c:pt>
                  <c:pt idx="18">
                    <c:v>5.48</c:v>
                  </c:pt>
                  <c:pt idx="19">
                    <c:v>5.51</c:v>
                  </c:pt>
                  <c:pt idx="21">
                    <c:v>5.15</c:v>
                  </c:pt>
                  <c:pt idx="22">
                    <c:v>5.17</c:v>
                  </c:pt>
                  <c:pt idx="23">
                    <c:v>5.08</c:v>
                  </c:pt>
                  <c:pt idx="24">
                    <c:v>5.03</c:v>
                  </c:pt>
                  <c:pt idx="25">
                    <c:v>5.05</c:v>
                  </c:pt>
                  <c:pt idx="26">
                    <c:v>5.06</c:v>
                  </c:pt>
                  <c:pt idx="27">
                    <c:v>4.89</c:v>
                  </c:pt>
                  <c:pt idx="28">
                    <c:v>4.91</c:v>
                  </c:pt>
                  <c:pt idx="29">
                    <c:v>4.92</c:v>
                  </c:pt>
                  <c:pt idx="30">
                    <c:v>4.92</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lvl>
              </c:multiLvlStrCache>
            </c:multiLvlStrRef>
          </c:xVal>
          <c:yVal>
            <c:numRef>
              <c:f>'Mar''15'!$K$3:$K$33</c:f>
              <c:numCache>
                <c:formatCode>0.00</c:formatCode>
                <c:ptCount val="31"/>
                <c:pt idx="0">
                  <c:v>7.58</c:v>
                </c:pt>
                <c:pt idx="1">
                  <c:v>7.61</c:v>
                </c:pt>
                <c:pt idx="3">
                  <c:v>7.54</c:v>
                </c:pt>
                <c:pt idx="4">
                  <c:v>7.64</c:v>
                </c:pt>
                <c:pt idx="5">
                  <c:v>7.62</c:v>
                </c:pt>
                <c:pt idx="6">
                  <c:v>7.57</c:v>
                </c:pt>
                <c:pt idx="7">
                  <c:v>7.56</c:v>
                </c:pt>
                <c:pt idx="9">
                  <c:v>7.68</c:v>
                </c:pt>
                <c:pt idx="10">
                  <c:v>7.67</c:v>
                </c:pt>
                <c:pt idx="11">
                  <c:v>7.68</c:v>
                </c:pt>
                <c:pt idx="12">
                  <c:v>7.6</c:v>
                </c:pt>
                <c:pt idx="13">
                  <c:v>7.58</c:v>
                </c:pt>
                <c:pt idx="14">
                  <c:v>7.46</c:v>
                </c:pt>
                <c:pt idx="17">
                  <c:v>7.37</c:v>
                </c:pt>
                <c:pt idx="18">
                  <c:v>7.54</c:v>
                </c:pt>
                <c:pt idx="19">
                  <c:v>7.52</c:v>
                </c:pt>
                <c:pt idx="21">
                  <c:v>7.27</c:v>
                </c:pt>
                <c:pt idx="22">
                  <c:v>7.47</c:v>
                </c:pt>
                <c:pt idx="23">
                  <c:v>7.45</c:v>
                </c:pt>
                <c:pt idx="24">
                  <c:v>7.5</c:v>
                </c:pt>
                <c:pt idx="25">
                  <c:v>7.52</c:v>
                </c:pt>
                <c:pt idx="26">
                  <c:v>7.43</c:v>
                </c:pt>
                <c:pt idx="27">
                  <c:v>7.51</c:v>
                </c:pt>
                <c:pt idx="28">
                  <c:v>7.74</c:v>
                </c:pt>
                <c:pt idx="29">
                  <c:v>7.58</c:v>
                </c:pt>
                <c:pt idx="30">
                  <c:v>7.74</c:v>
                </c:pt>
              </c:numCache>
            </c:numRef>
          </c:yVal>
          <c:smooth val="0"/>
        </c:ser>
        <c:dLbls>
          <c:showLegendKey val="0"/>
          <c:showVal val="0"/>
          <c:showCatName val="0"/>
          <c:showSerName val="0"/>
          <c:showPercent val="0"/>
          <c:showBubbleSize val="0"/>
        </c:dLbls>
        <c:axId val="2105659016"/>
        <c:axId val="2105653240"/>
      </c:scatterChart>
      <c:valAx>
        <c:axId val="2105659016"/>
        <c:scaling>
          <c:orientation val="minMax"/>
          <c:max val="30.0"/>
        </c:scaling>
        <c:delete val="0"/>
        <c:axPos val="b"/>
        <c:numFmt formatCode="0" sourceLinked="1"/>
        <c:majorTickMark val="out"/>
        <c:minorTickMark val="none"/>
        <c:tickLblPos val="nextTo"/>
        <c:txPr>
          <a:bodyPr/>
          <a:lstStyle/>
          <a:p>
            <a:pPr>
              <a:defRPr sz="1000" b="0" i="0"/>
            </a:pPr>
            <a:endParaRPr lang="en-US"/>
          </a:p>
        </c:txPr>
        <c:crossAx val="2105653240"/>
        <c:crosses val="autoZero"/>
        <c:crossBetween val="midCat"/>
      </c:valAx>
      <c:valAx>
        <c:axId val="2105653240"/>
        <c:scaling>
          <c:orientation val="minMax"/>
          <c:max val="8.0"/>
          <c:min val="4.0"/>
        </c:scaling>
        <c:delete val="0"/>
        <c:axPos val="l"/>
        <c:title>
          <c:tx>
            <c:rich>
              <a:bodyPr rot="-5400000" vert="horz"/>
              <a:lstStyle/>
              <a:p>
                <a:pPr>
                  <a:defRPr sz="1200"/>
                </a:pPr>
                <a:r>
                  <a:rPr lang="en-US" sz="1200"/>
                  <a:t>pH</a:t>
                </a:r>
              </a:p>
            </c:rich>
          </c:tx>
          <c:layout/>
          <c:overlay val="0"/>
        </c:title>
        <c:numFmt formatCode="0.00" sourceLinked="1"/>
        <c:majorTickMark val="out"/>
        <c:minorTickMark val="none"/>
        <c:tickLblPos val="nextTo"/>
        <c:txPr>
          <a:bodyPr/>
          <a:lstStyle/>
          <a:p>
            <a:pPr>
              <a:defRPr sz="1200" b="1" i="0"/>
            </a:pPr>
            <a:endParaRPr lang="en-US"/>
          </a:p>
        </c:txPr>
        <c:crossAx val="2105659016"/>
        <c:crosses val="autoZero"/>
        <c:crossBetween val="midCat"/>
      </c:valAx>
      <c:spPr>
        <a:noFill/>
        <a:ln>
          <a:noFill/>
        </a:ln>
      </c:spPr>
    </c:plotArea>
    <c:legend>
      <c:legendPos val="r"/>
      <c:layout>
        <c:manualLayout>
          <c:xMode val="edge"/>
          <c:yMode val="edge"/>
          <c:x val="0.24689095329554"/>
          <c:y val="0.689601458099478"/>
          <c:w val="0.113462768148823"/>
          <c:h val="0.155681784194197"/>
        </c:manualLayout>
      </c:layout>
      <c:overlay val="0"/>
    </c:legend>
    <c:plotVisOnly val="1"/>
    <c:dispBlanksAs val="gap"/>
    <c:showDLblsOverMax val="0"/>
  </c:chart>
  <c:spPr>
    <a:noFill/>
    <a:ln>
      <a:noFill/>
    </a:ln>
  </c:spPr>
  <c:printSettings>
    <c:headerFooter/>
    <c:pageMargins b="1.0" l="0.75" r="0.75" t="1.0" header="0.5" footer="0.5"/>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strRef>
              <c:f>'Apr''15'!$C$2</c:f>
              <c:strCache>
                <c:ptCount val="1"/>
                <c:pt idx="0">
                  <c:v>biogas consumed (m3/day)</c:v>
                </c:pt>
              </c:strCache>
            </c:strRef>
          </c:tx>
          <c:spPr>
            <a:ln w="47625">
              <a:noFill/>
            </a:ln>
          </c:spPr>
          <c:invertIfNegative val="0"/>
          <c:cat>
            <c:numRef>
              <c:f>'Apr''15'!$B$3:$B$32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cat>
          <c:val>
            <c:numRef>
              <c:f>'Apr''15'!$C$3:$C$33</c:f>
              <c:numCache>
                <c:formatCode>#,##0</c:formatCode>
                <c:ptCount val="31"/>
                <c:pt idx="0">
                  <c:v>2778.563535901773</c:v>
                </c:pt>
                <c:pt idx="1">
                  <c:v>2929.756097577613</c:v>
                </c:pt>
                <c:pt idx="3">
                  <c:v>2223.551931933707</c:v>
                </c:pt>
                <c:pt idx="5">
                  <c:v>2595.821708069931</c:v>
                </c:pt>
                <c:pt idx="6">
                  <c:v>2589.122055657737</c:v>
                </c:pt>
                <c:pt idx="7">
                  <c:v>2544.0</c:v>
                </c:pt>
                <c:pt idx="8">
                  <c:v>2410.731707330763</c:v>
                </c:pt>
                <c:pt idx="9">
                  <c:v>2105.48571427696</c:v>
                </c:pt>
                <c:pt idx="10">
                  <c:v>1607.664670663165</c:v>
                </c:pt>
                <c:pt idx="11">
                  <c:v>1690.676982585785</c:v>
                </c:pt>
                <c:pt idx="12">
                  <c:v>1575.462450598685</c:v>
                </c:pt>
                <c:pt idx="13">
                  <c:v>1532.395904439295</c:v>
                </c:pt>
                <c:pt idx="14">
                  <c:v>1499.234042545765</c:v>
                </c:pt>
                <c:pt idx="15">
                  <c:v>1446.203076927221</c:v>
                </c:pt>
                <c:pt idx="16">
                  <c:v>1391.808764935075</c:v>
                </c:pt>
                <c:pt idx="17">
                  <c:v>1443.9183673538</c:v>
                </c:pt>
                <c:pt idx="18">
                  <c:v>1392.0</c:v>
                </c:pt>
                <c:pt idx="19">
                  <c:v>1205.370629371611</c:v>
                </c:pt>
                <c:pt idx="20">
                  <c:v>1262.383275257228</c:v>
                </c:pt>
                <c:pt idx="21">
                  <c:v>1680.819112630657</c:v>
                </c:pt>
                <c:pt idx="22">
                  <c:v>1738.140845073272</c:v>
                </c:pt>
                <c:pt idx="23">
                  <c:v>1438.996515674773</c:v>
                </c:pt>
                <c:pt idx="24">
                  <c:v>1314.30927835367</c:v>
                </c:pt>
                <c:pt idx="25">
                  <c:v>1300.965517240335</c:v>
                </c:pt>
                <c:pt idx="26">
                  <c:v>1307.621052628374</c:v>
                </c:pt>
                <c:pt idx="27">
                  <c:v>1353.094736838789</c:v>
                </c:pt>
                <c:pt idx="28">
                  <c:v>1691.50684932451</c:v>
                </c:pt>
                <c:pt idx="29">
                  <c:v>1557.221052627762</c:v>
                </c:pt>
              </c:numCache>
            </c:numRef>
          </c:val>
        </c:ser>
        <c:dLbls>
          <c:showLegendKey val="0"/>
          <c:showVal val="0"/>
          <c:showCatName val="0"/>
          <c:showSerName val="0"/>
          <c:showPercent val="0"/>
          <c:showBubbleSize val="0"/>
        </c:dLbls>
        <c:gapWidth val="10"/>
        <c:axId val="2055286904"/>
        <c:axId val="2055283432"/>
      </c:barChart>
      <c:scatterChart>
        <c:scatterStyle val="lineMarker"/>
        <c:varyColors val="0"/>
        <c:ser>
          <c:idx val="1"/>
          <c:order val="1"/>
          <c:tx>
            <c:strRef>
              <c:f>'Apr''15'!$D$2</c:f>
              <c:strCache>
                <c:ptCount val="1"/>
                <c:pt idx="0">
                  <c:v>CH4 (%)</c:v>
                </c:pt>
              </c:strCache>
            </c:strRef>
          </c:tx>
          <c:spPr>
            <a:ln w="47625">
              <a:noFill/>
            </a:ln>
          </c:spPr>
          <c:marker>
            <c:symbol val="square"/>
            <c:size val="9"/>
            <c:spPr>
              <a:solidFill>
                <a:schemeClr val="bg1"/>
              </a:solidFill>
              <a:ln w="19050" cmpd="sng">
                <a:solidFill>
                  <a:srgbClr val="0000FF"/>
                </a:solidFill>
              </a:ln>
            </c:spPr>
          </c:marker>
          <c:xVal>
            <c:numRef>
              <c:f>'Apr''15'!$B$3:$B$32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xVal>
          <c:yVal>
            <c:numRef>
              <c:f>'Apr''15'!$D$3:$D$32</c:f>
              <c:numCache>
                <c:formatCode>General</c:formatCode>
                <c:ptCount val="30"/>
                <c:pt idx="0">
                  <c:v>58.6</c:v>
                </c:pt>
                <c:pt idx="1">
                  <c:v>57.0</c:v>
                </c:pt>
                <c:pt idx="3">
                  <c:v>57.9</c:v>
                </c:pt>
                <c:pt idx="5">
                  <c:v>57.1</c:v>
                </c:pt>
                <c:pt idx="6">
                  <c:v>42.8</c:v>
                </c:pt>
                <c:pt idx="7">
                  <c:v>55.8</c:v>
                </c:pt>
                <c:pt idx="8">
                  <c:v>55.4</c:v>
                </c:pt>
                <c:pt idx="9">
                  <c:v>54.8</c:v>
                </c:pt>
                <c:pt idx="10">
                  <c:v>54.8</c:v>
                </c:pt>
                <c:pt idx="11">
                  <c:v>54.7</c:v>
                </c:pt>
                <c:pt idx="12">
                  <c:v>54.1</c:v>
                </c:pt>
                <c:pt idx="13">
                  <c:v>54.4</c:v>
                </c:pt>
                <c:pt idx="14">
                  <c:v>48.9</c:v>
                </c:pt>
                <c:pt idx="15">
                  <c:v>48.3</c:v>
                </c:pt>
                <c:pt idx="16">
                  <c:v>54.7</c:v>
                </c:pt>
                <c:pt idx="17">
                  <c:v>48.5</c:v>
                </c:pt>
                <c:pt idx="18">
                  <c:v>48.4</c:v>
                </c:pt>
                <c:pt idx="20">
                  <c:v>47.2</c:v>
                </c:pt>
                <c:pt idx="21">
                  <c:v>46.5</c:v>
                </c:pt>
                <c:pt idx="22">
                  <c:v>47.4</c:v>
                </c:pt>
                <c:pt idx="23">
                  <c:v>51.1</c:v>
                </c:pt>
                <c:pt idx="24">
                  <c:v>46.9</c:v>
                </c:pt>
                <c:pt idx="25">
                  <c:v>49.0</c:v>
                </c:pt>
                <c:pt idx="26">
                  <c:v>48.5</c:v>
                </c:pt>
                <c:pt idx="27">
                  <c:v>49.0</c:v>
                </c:pt>
                <c:pt idx="28">
                  <c:v>48.8</c:v>
                </c:pt>
                <c:pt idx="29">
                  <c:v>48.1</c:v>
                </c:pt>
              </c:numCache>
            </c:numRef>
          </c:yVal>
          <c:smooth val="0"/>
        </c:ser>
        <c:ser>
          <c:idx val="2"/>
          <c:order val="2"/>
          <c:tx>
            <c:strRef>
              <c:f>'Apr''15'!$E$2</c:f>
              <c:strCache>
                <c:ptCount val="1"/>
                <c:pt idx="0">
                  <c:v>H2S (ppm)</c:v>
                </c:pt>
              </c:strCache>
            </c:strRef>
          </c:tx>
          <c:spPr>
            <a:ln w="47625">
              <a:noFill/>
            </a:ln>
          </c:spPr>
          <c:marker>
            <c:symbol val="plus"/>
            <c:size val="12"/>
            <c:spPr>
              <a:ln w="19050" cmpd="sng">
                <a:solidFill>
                  <a:schemeClr val="tx1"/>
                </a:solidFill>
              </a:ln>
            </c:spPr>
          </c:marker>
          <c:xVal>
            <c:numRef>
              <c:f>'Apr''15'!$B$3:$B$32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xVal>
          <c:yVal>
            <c:numRef>
              <c:f>'Apr''15'!$E$3:$E$32</c:f>
              <c:numCache>
                <c:formatCode>General</c:formatCode>
                <c:ptCount val="30"/>
                <c:pt idx="0">
                  <c:v>120.0</c:v>
                </c:pt>
                <c:pt idx="1">
                  <c:v>130.0</c:v>
                </c:pt>
                <c:pt idx="3">
                  <c:v>130.0</c:v>
                </c:pt>
                <c:pt idx="5">
                  <c:v>85.0</c:v>
                </c:pt>
                <c:pt idx="6">
                  <c:v>130.0</c:v>
                </c:pt>
                <c:pt idx="7">
                  <c:v>155.0</c:v>
                </c:pt>
                <c:pt idx="8">
                  <c:v>160.0</c:v>
                </c:pt>
                <c:pt idx="9">
                  <c:v>180.0</c:v>
                </c:pt>
                <c:pt idx="10">
                  <c:v>145.0</c:v>
                </c:pt>
                <c:pt idx="11">
                  <c:v>160.0</c:v>
                </c:pt>
                <c:pt idx="12">
                  <c:v>170.0</c:v>
                </c:pt>
                <c:pt idx="13">
                  <c:v>170.0</c:v>
                </c:pt>
                <c:pt idx="14">
                  <c:v>180.0</c:v>
                </c:pt>
                <c:pt idx="15">
                  <c:v>185.0</c:v>
                </c:pt>
                <c:pt idx="16">
                  <c:v>170.0</c:v>
                </c:pt>
                <c:pt idx="17">
                  <c:v>180.0</c:v>
                </c:pt>
                <c:pt idx="18">
                  <c:v>155.0</c:v>
                </c:pt>
                <c:pt idx="20">
                  <c:v>155.0</c:v>
                </c:pt>
                <c:pt idx="21">
                  <c:v>95.0</c:v>
                </c:pt>
                <c:pt idx="22">
                  <c:v>140.0</c:v>
                </c:pt>
                <c:pt idx="23">
                  <c:v>130.0</c:v>
                </c:pt>
                <c:pt idx="24">
                  <c:v>75.0</c:v>
                </c:pt>
                <c:pt idx="25">
                  <c:v>50.0</c:v>
                </c:pt>
                <c:pt idx="26">
                  <c:v>110.0</c:v>
                </c:pt>
                <c:pt idx="27">
                  <c:v>100.0</c:v>
                </c:pt>
                <c:pt idx="28">
                  <c:v>120.0</c:v>
                </c:pt>
                <c:pt idx="29">
                  <c:v>120.0</c:v>
                </c:pt>
              </c:numCache>
            </c:numRef>
          </c:yVal>
          <c:smooth val="0"/>
        </c:ser>
        <c:dLbls>
          <c:showLegendKey val="0"/>
          <c:showVal val="0"/>
          <c:showCatName val="0"/>
          <c:showSerName val="0"/>
          <c:showPercent val="0"/>
          <c:showBubbleSize val="0"/>
        </c:dLbls>
        <c:axId val="2055491832"/>
        <c:axId val="2055273096"/>
      </c:scatterChart>
      <c:catAx>
        <c:axId val="2055286904"/>
        <c:scaling>
          <c:orientation val="minMax"/>
        </c:scaling>
        <c:delete val="0"/>
        <c:axPos val="b"/>
        <c:numFmt formatCode="0" sourceLinked="1"/>
        <c:majorTickMark val="out"/>
        <c:minorTickMark val="none"/>
        <c:tickLblPos val="nextTo"/>
        <c:crossAx val="2055283432"/>
        <c:crosses val="autoZero"/>
        <c:auto val="1"/>
        <c:lblAlgn val="ctr"/>
        <c:lblOffset val="100"/>
        <c:noMultiLvlLbl val="1"/>
      </c:catAx>
      <c:valAx>
        <c:axId val="2055283432"/>
        <c:scaling>
          <c:orientation val="minMax"/>
          <c:max val="3000.0"/>
        </c:scaling>
        <c:delete val="0"/>
        <c:axPos val="l"/>
        <c:title>
          <c:tx>
            <c:rich>
              <a:bodyPr rot="-5400000" vert="horz"/>
              <a:lstStyle/>
              <a:p>
                <a:pPr>
                  <a:defRPr sz="1200"/>
                </a:pPr>
                <a:r>
                  <a:rPr lang="en-US" sz="1200"/>
                  <a:t>biogas volume</a:t>
                </a:r>
                <a:r>
                  <a:rPr lang="en-US" sz="1200" baseline="0"/>
                  <a:t> (m3/day)</a:t>
                </a:r>
                <a:endParaRPr lang="en-US" sz="1200"/>
              </a:p>
            </c:rich>
          </c:tx>
          <c:layout/>
          <c:overlay val="0"/>
        </c:title>
        <c:numFmt formatCode="#,##0" sourceLinked="1"/>
        <c:majorTickMark val="out"/>
        <c:minorTickMark val="none"/>
        <c:tickLblPos val="nextTo"/>
        <c:txPr>
          <a:bodyPr/>
          <a:lstStyle/>
          <a:p>
            <a:pPr>
              <a:defRPr sz="1200"/>
            </a:pPr>
            <a:endParaRPr lang="en-US"/>
          </a:p>
        </c:txPr>
        <c:crossAx val="2055286904"/>
        <c:crosses val="autoZero"/>
        <c:crossBetween val="between"/>
      </c:valAx>
      <c:valAx>
        <c:axId val="2055273096"/>
        <c:scaling>
          <c:orientation val="minMax"/>
          <c:max val="600.0"/>
        </c:scaling>
        <c:delete val="0"/>
        <c:axPos val="r"/>
        <c:title>
          <c:tx>
            <c:rich>
              <a:bodyPr rot="-5400000" vert="horz"/>
              <a:lstStyle/>
              <a:p>
                <a:pPr>
                  <a:defRPr sz="1200"/>
                </a:pPr>
                <a:r>
                  <a:rPr lang="en-US" sz="1200"/>
                  <a:t>methane (%), H2S</a:t>
                </a:r>
                <a:r>
                  <a:rPr lang="en-US" sz="1200" baseline="0"/>
                  <a:t> (ppm</a:t>
                </a:r>
                <a:endParaRPr lang="en-US" sz="1200"/>
              </a:p>
            </c:rich>
          </c:tx>
          <c:layout/>
          <c:overlay val="0"/>
        </c:title>
        <c:numFmt formatCode="General" sourceLinked="1"/>
        <c:majorTickMark val="out"/>
        <c:minorTickMark val="none"/>
        <c:tickLblPos val="nextTo"/>
        <c:txPr>
          <a:bodyPr/>
          <a:lstStyle/>
          <a:p>
            <a:pPr>
              <a:defRPr sz="1200"/>
            </a:pPr>
            <a:endParaRPr lang="en-US"/>
          </a:p>
        </c:txPr>
        <c:crossAx val="2055491832"/>
        <c:crosses val="max"/>
        <c:crossBetween val="midCat"/>
      </c:valAx>
      <c:valAx>
        <c:axId val="2055491832"/>
        <c:scaling>
          <c:orientation val="minMax"/>
        </c:scaling>
        <c:delete val="1"/>
        <c:axPos val="b"/>
        <c:numFmt formatCode="0" sourceLinked="1"/>
        <c:majorTickMark val="out"/>
        <c:minorTickMark val="none"/>
        <c:tickLblPos val="nextTo"/>
        <c:crossAx val="2055273096"/>
        <c:crosses val="autoZero"/>
        <c:crossBetween val="midCat"/>
      </c:valAx>
      <c:spPr>
        <a:noFill/>
        <a:ln>
          <a:noFill/>
        </a:ln>
      </c:spPr>
    </c:plotArea>
    <c:legend>
      <c:legendPos val="r"/>
      <c:layout>
        <c:manualLayout>
          <c:xMode val="edge"/>
          <c:yMode val="edge"/>
          <c:x val="0.33917202067533"/>
          <c:y val="0.156846258169769"/>
          <c:w val="0.188605671223612"/>
          <c:h val="0.160703780319213"/>
        </c:manualLayout>
      </c:layout>
      <c:overlay val="0"/>
      <c:txPr>
        <a:bodyPr/>
        <a:lstStyle/>
        <a:p>
          <a:pPr>
            <a:defRPr sz="1200"/>
          </a:pPr>
          <a:endParaRPr lang="en-US"/>
        </a:p>
      </c:txPr>
    </c:legend>
    <c:plotVisOnly val="1"/>
    <c:dispBlanksAs val="gap"/>
    <c:showDLblsOverMax val="0"/>
  </c:chart>
  <c:spPr>
    <a:noFill/>
    <a:ln>
      <a:noFill/>
    </a:ln>
  </c:spPr>
  <c:printSettings>
    <c:headerFooter/>
    <c:pageMargins b="1.0" l="0.75" r="0.75" t="1.0"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1"/>
          <c:order val="1"/>
          <c:tx>
            <c:strRef>
              <c:f>'Apr''15'!$H$2</c:f>
              <c:strCache>
                <c:ptCount val="1"/>
                <c:pt idx="0">
                  <c:v>electricity produced (kWh/day)</c:v>
                </c:pt>
              </c:strCache>
            </c:strRef>
          </c:tx>
          <c:spPr>
            <a:ln w="47625">
              <a:noFill/>
            </a:ln>
          </c:spPr>
          <c:invertIfNegative val="0"/>
          <c:cat>
            <c:numRef>
              <c:f>'Apr''15'!$F$3:$F$32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cat>
          <c:val>
            <c:numRef>
              <c:f>'Apr''15'!$H$3:$H$33</c:f>
              <c:numCache>
                <c:formatCode>#,##0</c:formatCode>
                <c:ptCount val="31"/>
                <c:pt idx="0">
                  <c:v>8442.099447483948</c:v>
                </c:pt>
                <c:pt idx="1">
                  <c:v>8403.902439072115</c:v>
                </c:pt>
                <c:pt idx="3">
                  <c:v>7098.929457622144</c:v>
                </c:pt>
                <c:pt idx="5">
                  <c:v>7695.352160616523</c:v>
                </c:pt>
                <c:pt idx="6">
                  <c:v>7695.417558836633</c:v>
                </c:pt>
                <c:pt idx="7">
                  <c:v>7582.0</c:v>
                </c:pt>
                <c:pt idx="8">
                  <c:v>7545.365853701385</c:v>
                </c:pt>
                <c:pt idx="9">
                  <c:v>6993.257142828067</c:v>
                </c:pt>
                <c:pt idx="10">
                  <c:v>5937.245508998592</c:v>
                </c:pt>
                <c:pt idx="11">
                  <c:v>5957.75628624546</c:v>
                </c:pt>
                <c:pt idx="12">
                  <c:v>5621.12252966496</c:v>
                </c:pt>
                <c:pt idx="13">
                  <c:v>5582.088737210237</c:v>
                </c:pt>
                <c:pt idx="14">
                  <c:v>5544.510638270405</c:v>
                </c:pt>
                <c:pt idx="15">
                  <c:v>5150.326153860913</c:v>
                </c:pt>
                <c:pt idx="16">
                  <c:v>5087.6175298616</c:v>
                </c:pt>
                <c:pt idx="17">
                  <c:v>4810.77551022694</c:v>
                </c:pt>
                <c:pt idx="18">
                  <c:v>4825.0</c:v>
                </c:pt>
                <c:pt idx="19">
                  <c:v>4391.496503500078</c:v>
                </c:pt>
                <c:pt idx="20">
                  <c:v>4033.00348430747</c:v>
                </c:pt>
                <c:pt idx="21">
                  <c:v>3681.092150176498</c:v>
                </c:pt>
                <c:pt idx="22">
                  <c:v>3991.436619724855</c:v>
                </c:pt>
                <c:pt idx="23">
                  <c:v>3893.519163750431</c:v>
                </c:pt>
                <c:pt idx="24">
                  <c:v>4049.814432999411</c:v>
                </c:pt>
                <c:pt idx="25">
                  <c:v>4067.751724134665</c:v>
                </c:pt>
                <c:pt idx="26">
                  <c:v>3624.757894727958</c:v>
                </c:pt>
                <c:pt idx="27">
                  <c:v>3889.515789464152</c:v>
                </c:pt>
                <c:pt idx="28">
                  <c:v>4395.945205503988</c:v>
                </c:pt>
                <c:pt idx="29">
                  <c:v>4244.210526305387</c:v>
                </c:pt>
              </c:numCache>
            </c:numRef>
          </c:val>
        </c:ser>
        <c:dLbls>
          <c:showLegendKey val="0"/>
          <c:showVal val="0"/>
          <c:showCatName val="0"/>
          <c:showSerName val="0"/>
          <c:showPercent val="0"/>
          <c:showBubbleSize val="0"/>
        </c:dLbls>
        <c:gapWidth val="10"/>
        <c:axId val="2102971128"/>
        <c:axId val="2102976760"/>
      </c:barChart>
      <c:scatterChart>
        <c:scatterStyle val="lineMarker"/>
        <c:varyColors val="0"/>
        <c:ser>
          <c:idx val="0"/>
          <c:order val="0"/>
          <c:tx>
            <c:strRef>
              <c:f>'Apr''15'!$G$2</c:f>
              <c:strCache>
                <c:ptCount val="1"/>
                <c:pt idx="0">
                  <c:v>electricity consumed (kWh/day)</c:v>
                </c:pt>
              </c:strCache>
            </c:strRef>
          </c:tx>
          <c:spPr>
            <a:ln w="47625">
              <a:noFill/>
            </a:ln>
          </c:spPr>
          <c:marker>
            <c:symbol val="circle"/>
            <c:size val="12"/>
            <c:spPr>
              <a:solidFill>
                <a:schemeClr val="bg1"/>
              </a:solidFill>
              <a:ln>
                <a:solidFill>
                  <a:srgbClr val="FF0000"/>
                </a:solidFill>
              </a:ln>
            </c:spPr>
          </c:marker>
          <c:xVal>
            <c:numRef>
              <c:f>'Apr''15'!$F$3:$F$32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xVal>
          <c:yVal>
            <c:numRef>
              <c:f>'Apr''15'!$G$3:$G$32</c:f>
              <c:numCache>
                <c:formatCode>#,##0</c:formatCode>
                <c:ptCount val="30"/>
                <c:pt idx="0">
                  <c:v>708.0662983400366</c:v>
                </c:pt>
                <c:pt idx="1">
                  <c:v>743.4146341505632</c:v>
                </c:pt>
                <c:pt idx="3">
                  <c:v>597.2350230400452</c:v>
                </c:pt>
                <c:pt idx="5">
                  <c:v>607.5535896577415</c:v>
                </c:pt>
                <c:pt idx="6">
                  <c:v>629.0364025655161</c:v>
                </c:pt>
                <c:pt idx="7">
                  <c:v>659.0</c:v>
                </c:pt>
                <c:pt idx="8">
                  <c:v>709.2682926869546</c:v>
                </c:pt>
                <c:pt idx="9">
                  <c:v>622.285714283127</c:v>
                </c:pt>
                <c:pt idx="10">
                  <c:v>675.4491017982906</c:v>
                </c:pt>
                <c:pt idx="11">
                  <c:v>640.6189555102645</c:v>
                </c:pt>
                <c:pt idx="12">
                  <c:v>612.4268774726101</c:v>
                </c:pt>
                <c:pt idx="13">
                  <c:v>622.1979522194189</c:v>
                </c:pt>
                <c:pt idx="14">
                  <c:v>695.4893616986822</c:v>
                </c:pt>
                <c:pt idx="15">
                  <c:v>731.0769230790181</c:v>
                </c:pt>
                <c:pt idx="16">
                  <c:v>553.0517928266332</c:v>
                </c:pt>
                <c:pt idx="17">
                  <c:v>709.2244897992883</c:v>
                </c:pt>
                <c:pt idx="18">
                  <c:v>613.0</c:v>
                </c:pt>
                <c:pt idx="19">
                  <c:v>664.6153846159257</c:v>
                </c:pt>
                <c:pt idx="20">
                  <c:v>598.076655050324</c:v>
                </c:pt>
                <c:pt idx="21">
                  <c:v>580.9146757688413</c:v>
                </c:pt>
                <c:pt idx="22">
                  <c:v>733.1830985927514</c:v>
                </c:pt>
                <c:pt idx="23">
                  <c:v>710.4668989523983</c:v>
                </c:pt>
                <c:pt idx="24">
                  <c:v>711.5876288676874</c:v>
                </c:pt>
                <c:pt idx="25">
                  <c:v>649.4896551718923</c:v>
                </c:pt>
                <c:pt idx="26">
                  <c:v>588.1263157880323</c:v>
                </c:pt>
                <c:pt idx="27">
                  <c:v>731.621052629786</c:v>
                </c:pt>
                <c:pt idx="28">
                  <c:v>725.9178082232298</c:v>
                </c:pt>
                <c:pt idx="29">
                  <c:v>600.2526315774762</c:v>
                </c:pt>
              </c:numCache>
            </c:numRef>
          </c:yVal>
          <c:smooth val="0"/>
        </c:ser>
        <c:dLbls>
          <c:showLegendKey val="0"/>
          <c:showVal val="0"/>
          <c:showCatName val="0"/>
          <c:showSerName val="0"/>
          <c:showPercent val="0"/>
          <c:showBubbleSize val="0"/>
        </c:dLbls>
        <c:axId val="2102971128"/>
        <c:axId val="2102976760"/>
      </c:scatterChart>
      <c:catAx>
        <c:axId val="2102971128"/>
        <c:scaling>
          <c:orientation val="minMax"/>
        </c:scaling>
        <c:delete val="0"/>
        <c:axPos val="b"/>
        <c:numFmt formatCode="0" sourceLinked="1"/>
        <c:majorTickMark val="out"/>
        <c:minorTickMark val="none"/>
        <c:tickLblPos val="nextTo"/>
        <c:crossAx val="2102976760"/>
        <c:crosses val="autoZero"/>
        <c:auto val="1"/>
        <c:lblAlgn val="ctr"/>
        <c:lblOffset val="100"/>
        <c:noMultiLvlLbl val="1"/>
      </c:catAx>
      <c:valAx>
        <c:axId val="2102976760"/>
        <c:scaling>
          <c:orientation val="minMax"/>
        </c:scaling>
        <c:delete val="0"/>
        <c:axPos val="l"/>
        <c:title>
          <c:tx>
            <c:rich>
              <a:bodyPr rot="-5400000" vert="horz"/>
              <a:lstStyle/>
              <a:p>
                <a:pPr>
                  <a:defRPr sz="1200"/>
                </a:pPr>
                <a:r>
                  <a:rPr lang="en-US" sz="1200"/>
                  <a:t>electricity</a:t>
                </a:r>
                <a:r>
                  <a:rPr lang="en-US" sz="1200" baseline="0"/>
                  <a:t> (kWh/day)</a:t>
                </a:r>
                <a:endParaRPr lang="en-US" sz="1200"/>
              </a:p>
            </c:rich>
          </c:tx>
          <c:overlay val="0"/>
        </c:title>
        <c:numFmt formatCode="#,##0" sourceLinked="1"/>
        <c:majorTickMark val="out"/>
        <c:minorTickMark val="none"/>
        <c:tickLblPos val="nextTo"/>
        <c:txPr>
          <a:bodyPr/>
          <a:lstStyle/>
          <a:p>
            <a:pPr>
              <a:defRPr sz="1200"/>
            </a:pPr>
            <a:endParaRPr lang="en-US"/>
          </a:p>
        </c:txPr>
        <c:crossAx val="2102971128"/>
        <c:crosses val="autoZero"/>
        <c:crossBetween val="between"/>
      </c:valAx>
      <c:spPr>
        <a:noFill/>
        <a:ln>
          <a:noFill/>
        </a:ln>
      </c:spPr>
    </c:plotArea>
    <c:legend>
      <c:legendPos val="r"/>
      <c:layout>
        <c:manualLayout>
          <c:xMode val="edge"/>
          <c:yMode val="edge"/>
          <c:x val="0.474200995145877"/>
          <c:y val="0.154419498510693"/>
          <c:w val="0.166627347257269"/>
          <c:h val="0.181357671733435"/>
        </c:manualLayout>
      </c:layout>
      <c:overlay val="0"/>
      <c:txPr>
        <a:bodyPr/>
        <a:lstStyle/>
        <a:p>
          <a:pPr>
            <a:defRPr sz="1200"/>
          </a:pPr>
          <a:endParaRPr lang="en-US"/>
        </a:p>
      </c:txPr>
    </c:legend>
    <c:plotVisOnly val="1"/>
    <c:dispBlanksAs val="gap"/>
    <c:showDLblsOverMax val="0"/>
  </c:chart>
  <c:spPr>
    <a:noFill/>
    <a:ln>
      <a:noFill/>
    </a:ln>
  </c:spPr>
  <c:printSettings>
    <c:headerFooter/>
    <c:pageMargins b="1.0" l="0.75" r="0.75" t="1.0"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lineMarker"/>
        <c:varyColors val="0"/>
        <c:ser>
          <c:idx val="0"/>
          <c:order val="0"/>
          <c:tx>
            <c:strRef>
              <c:f>'Apr''15'!$M$2</c:f>
              <c:strCache>
                <c:ptCount val="1"/>
                <c:pt idx="0">
                  <c:v>hydroylzer Ripley ratio</c:v>
                </c:pt>
              </c:strCache>
            </c:strRef>
          </c:tx>
          <c:spPr>
            <a:ln w="47625">
              <a:noFill/>
            </a:ln>
          </c:spPr>
          <c:xVal>
            <c:numRef>
              <c:f>'Apr''15'!$L$3:$L$32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xVal>
          <c:yVal>
            <c:numRef>
              <c:f>'Apr''15'!$M$3:$M$32</c:f>
              <c:numCache>
                <c:formatCode>0.00</c:formatCode>
                <c:ptCount val="30"/>
              </c:numCache>
            </c:numRef>
          </c:yVal>
          <c:smooth val="0"/>
        </c:ser>
        <c:ser>
          <c:idx val="1"/>
          <c:order val="1"/>
          <c:tx>
            <c:strRef>
              <c:f>'Apr''15'!$N$2</c:f>
              <c:strCache>
                <c:ptCount val="1"/>
                <c:pt idx="0">
                  <c:v>AD Ripley ratio</c:v>
                </c:pt>
              </c:strCache>
            </c:strRef>
          </c:tx>
          <c:spPr>
            <a:ln w="47625">
              <a:noFill/>
            </a:ln>
          </c:spPr>
          <c:xVal>
            <c:numRef>
              <c:f>'Apr''15'!$L$3:$L$32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xVal>
          <c:yVal>
            <c:numRef>
              <c:f>'Apr''15'!$N$3:$N$32</c:f>
              <c:numCache>
                <c:formatCode>0.00</c:formatCode>
                <c:ptCount val="30"/>
                <c:pt idx="6">
                  <c:v>0.483333333333333</c:v>
                </c:pt>
                <c:pt idx="9">
                  <c:v>0.523333333333333</c:v>
                </c:pt>
                <c:pt idx="12">
                  <c:v>0.506666666666667</c:v>
                </c:pt>
                <c:pt idx="16">
                  <c:v>0.543333333333333</c:v>
                </c:pt>
                <c:pt idx="20">
                  <c:v>0.626666666666666</c:v>
                </c:pt>
                <c:pt idx="23">
                  <c:v>0.526666666666667</c:v>
                </c:pt>
              </c:numCache>
            </c:numRef>
          </c:yVal>
          <c:smooth val="0"/>
        </c:ser>
        <c:dLbls>
          <c:showLegendKey val="0"/>
          <c:showVal val="0"/>
          <c:showCatName val="0"/>
          <c:showSerName val="0"/>
          <c:showPercent val="0"/>
          <c:showBubbleSize val="0"/>
        </c:dLbls>
        <c:axId val="2105613992"/>
        <c:axId val="2105610968"/>
      </c:scatterChart>
      <c:valAx>
        <c:axId val="2105613992"/>
        <c:scaling>
          <c:orientation val="minMax"/>
          <c:max val="30.0"/>
        </c:scaling>
        <c:delete val="0"/>
        <c:axPos val="b"/>
        <c:numFmt formatCode="0" sourceLinked="1"/>
        <c:majorTickMark val="out"/>
        <c:minorTickMark val="none"/>
        <c:tickLblPos val="nextTo"/>
        <c:crossAx val="2105610968"/>
        <c:crosses val="autoZero"/>
        <c:crossBetween val="midCat"/>
      </c:valAx>
      <c:valAx>
        <c:axId val="2105610968"/>
        <c:scaling>
          <c:orientation val="minMax"/>
          <c:max val="0.9"/>
        </c:scaling>
        <c:delete val="0"/>
        <c:axPos val="l"/>
        <c:title>
          <c:tx>
            <c:rich>
              <a:bodyPr rot="-5400000" vert="horz"/>
              <a:lstStyle/>
              <a:p>
                <a:pPr>
                  <a:defRPr sz="1200"/>
                </a:pPr>
                <a:r>
                  <a:rPr lang="en-US" sz="1200"/>
                  <a:t>Ripley ratio </a:t>
                </a:r>
              </a:p>
            </c:rich>
          </c:tx>
          <c:overlay val="0"/>
        </c:title>
        <c:numFmt formatCode="0.00" sourceLinked="1"/>
        <c:majorTickMark val="out"/>
        <c:minorTickMark val="none"/>
        <c:tickLblPos val="nextTo"/>
        <c:txPr>
          <a:bodyPr/>
          <a:lstStyle/>
          <a:p>
            <a:pPr>
              <a:defRPr sz="1200" b="1" i="0"/>
            </a:pPr>
            <a:endParaRPr lang="en-US"/>
          </a:p>
        </c:txPr>
        <c:crossAx val="2105613992"/>
        <c:crosses val="autoZero"/>
        <c:crossBetween val="midCat"/>
      </c:valAx>
      <c:spPr>
        <a:noFill/>
        <a:ln>
          <a:noFill/>
        </a:ln>
      </c:spPr>
    </c:plotArea>
    <c:legend>
      <c:legendPos val="r"/>
      <c:layout>
        <c:manualLayout>
          <c:xMode val="edge"/>
          <c:yMode val="edge"/>
          <c:x val="0.582093839805265"/>
          <c:y val="0.685160601380963"/>
          <c:w val="0.154123885247073"/>
          <c:h val="0.11282550582877"/>
        </c:manualLayout>
      </c:layout>
      <c:overlay val="0"/>
    </c:legend>
    <c:plotVisOnly val="1"/>
    <c:dispBlanksAs val="gap"/>
    <c:showDLblsOverMax val="0"/>
  </c:chart>
  <c:spPr>
    <a:noFill/>
    <a:ln>
      <a:noFill/>
    </a:ln>
  </c:spPr>
  <c:printSettings>
    <c:headerFooter/>
    <c:pageMargins b="1.0" l="0.75" r="0.75" t="1.0" header="0.5" footer="0.5"/>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lineMarker"/>
        <c:varyColors val="0"/>
        <c:ser>
          <c:idx val="0"/>
          <c:order val="0"/>
          <c:tx>
            <c:strRef>
              <c:f>'Jun''15'!$I$2</c:f>
              <c:strCache>
                <c:ptCount val="1"/>
                <c:pt idx="0">
                  <c:v>Hydrolyzer pH</c:v>
                </c:pt>
              </c:strCache>
            </c:strRef>
          </c:tx>
          <c:spPr>
            <a:ln w="47625">
              <a:noFill/>
            </a:ln>
          </c:spPr>
          <c:marker>
            <c:symbol val="triangle"/>
            <c:size val="15"/>
            <c:spPr>
              <a:solidFill>
                <a:schemeClr val="bg1"/>
              </a:solidFill>
              <a:ln>
                <a:solidFill>
                  <a:srgbClr val="0000FF"/>
                </a:solidFill>
              </a:ln>
            </c:spPr>
          </c:marker>
          <c:xVal>
            <c:numRef>
              <c:f>'Jun''15'!$H$3:$H$32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xVal>
          <c:yVal>
            <c:numRef>
              <c:f>'Jun''15'!$I$3:$I$32</c:f>
              <c:numCache>
                <c:formatCode>0.00</c:formatCode>
                <c:ptCount val="30"/>
                <c:pt idx="0">
                  <c:v>5.35</c:v>
                </c:pt>
                <c:pt idx="3">
                  <c:v>5.15</c:v>
                </c:pt>
                <c:pt idx="7">
                  <c:v>5.34</c:v>
                </c:pt>
                <c:pt idx="8">
                  <c:v>5.08</c:v>
                </c:pt>
                <c:pt idx="10">
                  <c:v>4.97</c:v>
                </c:pt>
                <c:pt idx="11">
                  <c:v>4.88</c:v>
                </c:pt>
                <c:pt idx="15">
                  <c:v>5.16</c:v>
                </c:pt>
                <c:pt idx="16">
                  <c:v>5.1</c:v>
                </c:pt>
                <c:pt idx="17">
                  <c:v>5.2</c:v>
                </c:pt>
                <c:pt idx="18">
                  <c:v>5.2</c:v>
                </c:pt>
                <c:pt idx="19">
                  <c:v>5.16</c:v>
                </c:pt>
                <c:pt idx="20">
                  <c:v>5.15</c:v>
                </c:pt>
                <c:pt idx="21">
                  <c:v>5.25</c:v>
                </c:pt>
                <c:pt idx="22">
                  <c:v>5.42</c:v>
                </c:pt>
                <c:pt idx="23">
                  <c:v>5.29</c:v>
                </c:pt>
                <c:pt idx="24">
                  <c:v>5.27</c:v>
                </c:pt>
                <c:pt idx="25">
                  <c:v>5.12</c:v>
                </c:pt>
                <c:pt idx="26">
                  <c:v>5.15</c:v>
                </c:pt>
                <c:pt idx="27">
                  <c:v>5.23</c:v>
                </c:pt>
                <c:pt idx="28" formatCode="General">
                  <c:v>5.41</c:v>
                </c:pt>
                <c:pt idx="29" formatCode="General">
                  <c:v>5.53</c:v>
                </c:pt>
              </c:numCache>
            </c:numRef>
          </c:yVal>
          <c:smooth val="0"/>
        </c:ser>
        <c:ser>
          <c:idx val="1"/>
          <c:order val="1"/>
          <c:tx>
            <c:strRef>
              <c:f>'Jun''15'!$J$2</c:f>
              <c:strCache>
                <c:ptCount val="1"/>
                <c:pt idx="0">
                  <c:v>AD pH</c:v>
                </c:pt>
              </c:strCache>
            </c:strRef>
          </c:tx>
          <c:spPr>
            <a:ln w="25400">
              <a:noFill/>
            </a:ln>
          </c:spPr>
          <c:marker>
            <c:symbol val="triangle"/>
            <c:size val="15"/>
            <c:spPr>
              <a:solidFill>
                <a:srgbClr val="0000FF"/>
              </a:solidFill>
              <a:ln>
                <a:solidFill>
                  <a:srgbClr val="0000FF"/>
                </a:solidFill>
              </a:ln>
            </c:spPr>
          </c:marker>
          <c:xVal>
            <c:numRef>
              <c:f>'Jun''15'!$H$3:$H$32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xVal>
          <c:yVal>
            <c:numRef>
              <c:f>'Jun''15'!$J$3:$J$32</c:f>
              <c:numCache>
                <c:formatCode>General</c:formatCode>
                <c:ptCount val="30"/>
                <c:pt idx="0">
                  <c:v>7.02</c:v>
                </c:pt>
                <c:pt idx="3">
                  <c:v>7.02</c:v>
                </c:pt>
                <c:pt idx="7">
                  <c:v>7.09</c:v>
                </c:pt>
                <c:pt idx="8">
                  <c:v>7.06</c:v>
                </c:pt>
                <c:pt idx="10">
                  <c:v>7.04</c:v>
                </c:pt>
                <c:pt idx="11">
                  <c:v>7.11</c:v>
                </c:pt>
                <c:pt idx="15">
                  <c:v>7.09</c:v>
                </c:pt>
                <c:pt idx="16">
                  <c:v>7.1</c:v>
                </c:pt>
                <c:pt idx="17">
                  <c:v>7.16</c:v>
                </c:pt>
                <c:pt idx="18">
                  <c:v>7.14</c:v>
                </c:pt>
                <c:pt idx="19">
                  <c:v>7.13</c:v>
                </c:pt>
                <c:pt idx="20">
                  <c:v>7.11</c:v>
                </c:pt>
                <c:pt idx="21">
                  <c:v>7.16</c:v>
                </c:pt>
                <c:pt idx="22">
                  <c:v>7.12</c:v>
                </c:pt>
                <c:pt idx="23">
                  <c:v>7.12</c:v>
                </c:pt>
                <c:pt idx="24">
                  <c:v>7.18</c:v>
                </c:pt>
                <c:pt idx="25">
                  <c:v>7.21</c:v>
                </c:pt>
                <c:pt idx="26">
                  <c:v>7.2</c:v>
                </c:pt>
                <c:pt idx="27">
                  <c:v>7.15</c:v>
                </c:pt>
                <c:pt idx="28">
                  <c:v>7.19</c:v>
                </c:pt>
                <c:pt idx="29">
                  <c:v>7.18</c:v>
                </c:pt>
              </c:numCache>
            </c:numRef>
          </c:yVal>
          <c:smooth val="0"/>
        </c:ser>
        <c:dLbls>
          <c:showLegendKey val="0"/>
          <c:showVal val="0"/>
          <c:showCatName val="0"/>
          <c:showSerName val="0"/>
          <c:showPercent val="0"/>
          <c:showBubbleSize val="0"/>
        </c:dLbls>
        <c:axId val="2107385192"/>
        <c:axId val="2107390904"/>
      </c:scatterChart>
      <c:valAx>
        <c:axId val="2107385192"/>
        <c:scaling>
          <c:orientation val="minMax"/>
          <c:max val="30.0"/>
        </c:scaling>
        <c:delete val="0"/>
        <c:axPos val="b"/>
        <c:numFmt formatCode="0" sourceLinked="1"/>
        <c:majorTickMark val="out"/>
        <c:minorTickMark val="none"/>
        <c:tickLblPos val="nextTo"/>
        <c:txPr>
          <a:bodyPr/>
          <a:lstStyle/>
          <a:p>
            <a:pPr>
              <a:defRPr sz="1000" b="0" i="0"/>
            </a:pPr>
            <a:endParaRPr lang="en-US"/>
          </a:p>
        </c:txPr>
        <c:crossAx val="2107390904"/>
        <c:crosses val="autoZero"/>
        <c:crossBetween val="midCat"/>
      </c:valAx>
      <c:valAx>
        <c:axId val="2107390904"/>
        <c:scaling>
          <c:orientation val="minMax"/>
          <c:max val="8.0"/>
          <c:min val="4.0"/>
        </c:scaling>
        <c:delete val="0"/>
        <c:axPos val="l"/>
        <c:title>
          <c:tx>
            <c:rich>
              <a:bodyPr rot="-5400000" vert="horz"/>
              <a:lstStyle/>
              <a:p>
                <a:pPr>
                  <a:defRPr sz="1200"/>
                </a:pPr>
                <a:r>
                  <a:rPr lang="en-US" sz="1200"/>
                  <a:t>pH</a:t>
                </a:r>
              </a:p>
            </c:rich>
          </c:tx>
          <c:overlay val="0"/>
        </c:title>
        <c:numFmt formatCode="0.00" sourceLinked="1"/>
        <c:majorTickMark val="out"/>
        <c:minorTickMark val="none"/>
        <c:tickLblPos val="nextTo"/>
        <c:txPr>
          <a:bodyPr/>
          <a:lstStyle/>
          <a:p>
            <a:pPr>
              <a:defRPr sz="1200" b="1" i="0"/>
            </a:pPr>
            <a:endParaRPr lang="en-US"/>
          </a:p>
        </c:txPr>
        <c:crossAx val="2107385192"/>
        <c:crosses val="autoZero"/>
        <c:crossBetween val="midCat"/>
      </c:valAx>
      <c:spPr>
        <a:noFill/>
        <a:ln>
          <a:noFill/>
        </a:ln>
      </c:spPr>
    </c:plotArea>
    <c:legend>
      <c:legendPos val="r"/>
      <c:layout>
        <c:manualLayout>
          <c:xMode val="edge"/>
          <c:yMode val="edge"/>
          <c:x val="0.374388865765422"/>
          <c:y val="0.410531179633485"/>
          <c:w val="0.111490931482949"/>
          <c:h val="0.155681784194197"/>
        </c:manualLayout>
      </c:layout>
      <c:overlay val="0"/>
    </c:legend>
    <c:plotVisOnly val="1"/>
    <c:dispBlanksAs val="gap"/>
    <c:showDLblsOverMax val="0"/>
  </c:chart>
  <c:spPr>
    <a:noFill/>
    <a:ln>
      <a:noFill/>
    </a:ln>
  </c:spPr>
  <c:printSettings>
    <c:headerFooter/>
    <c:pageMargins b="1.0" l="0.75" r="0.75" t="1.0" header="0.5" footer="0.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strRef>
              <c:f>'May''15'!$C$2</c:f>
              <c:strCache>
                <c:ptCount val="1"/>
                <c:pt idx="0">
                  <c:v>biogas consumed (m3)</c:v>
                </c:pt>
              </c:strCache>
            </c:strRef>
          </c:tx>
          <c:spPr>
            <a:ln w="47625">
              <a:noFill/>
            </a:ln>
          </c:spPr>
          <c:invertIfNegative val="0"/>
          <c:cat>
            <c:numRef>
              <c:f>'May''15'!$B$3:$B$33</c:f>
              <c:numCache>
                <c:formatCode>0</c:formatCode>
                <c:ptCount val="31"/>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numCache>
            </c:numRef>
          </c:cat>
          <c:val>
            <c:numRef>
              <c:f>'May''15'!$C$3:$C$33</c:f>
              <c:numCache>
                <c:formatCode>#,##0</c:formatCode>
                <c:ptCount val="31"/>
                <c:pt idx="0">
                  <c:v>1691.571696933473</c:v>
                </c:pt>
                <c:pt idx="1">
                  <c:v>1939.020172913265</c:v>
                </c:pt>
                <c:pt idx="2">
                  <c:v>1746.782608691231</c:v>
                </c:pt>
                <c:pt idx="5">
                  <c:v>1624.761020882109</c:v>
                </c:pt>
                <c:pt idx="6">
                  <c:v>1614.088050312102</c:v>
                </c:pt>
                <c:pt idx="7">
                  <c:v>1594.91204330377</c:v>
                </c:pt>
                <c:pt idx="9">
                  <c:v>1641.929885454581</c:v>
                </c:pt>
                <c:pt idx="10">
                  <c:v>2137.063711907567</c:v>
                </c:pt>
                <c:pt idx="11">
                  <c:v>1882.597402608787</c:v>
                </c:pt>
                <c:pt idx="12">
                  <c:v>1351.613793102363</c:v>
                </c:pt>
                <c:pt idx="13">
                  <c:v>1708.408163261247</c:v>
                </c:pt>
                <c:pt idx="14">
                  <c:v>1783.728813565481</c:v>
                </c:pt>
                <c:pt idx="15">
                  <c:v>1964.192634556696</c:v>
                </c:pt>
                <c:pt idx="16">
                  <c:v>0.0</c:v>
                </c:pt>
                <c:pt idx="17">
                  <c:v>4249.609984393201</c:v>
                </c:pt>
                <c:pt idx="18">
                  <c:v>1870.92024540679</c:v>
                </c:pt>
                <c:pt idx="20">
                  <c:v>1945.130890049985</c:v>
                </c:pt>
                <c:pt idx="21">
                  <c:v>2052.378947363391</c:v>
                </c:pt>
                <c:pt idx="22">
                  <c:v>1579.0</c:v>
                </c:pt>
                <c:pt idx="23">
                  <c:v>1348.318339104691</c:v>
                </c:pt>
                <c:pt idx="24">
                  <c:v>1535.33793103325</c:v>
                </c:pt>
                <c:pt idx="25">
                  <c:v>1536.0</c:v>
                </c:pt>
                <c:pt idx="26">
                  <c:v>2178.43598616619</c:v>
                </c:pt>
                <c:pt idx="27">
                  <c:v>1749.073170726032</c:v>
                </c:pt>
                <c:pt idx="28">
                  <c:v>1784.282744283608</c:v>
                </c:pt>
                <c:pt idx="29">
                  <c:v>588.4954513664124</c:v>
                </c:pt>
                <c:pt idx="30">
                  <c:v>1756.426512957398</c:v>
                </c:pt>
              </c:numCache>
            </c:numRef>
          </c:val>
        </c:ser>
        <c:dLbls>
          <c:showLegendKey val="0"/>
          <c:showVal val="0"/>
          <c:showCatName val="0"/>
          <c:showSerName val="0"/>
          <c:showPercent val="0"/>
          <c:showBubbleSize val="0"/>
        </c:dLbls>
        <c:gapWidth val="10"/>
        <c:axId val="2098539592"/>
        <c:axId val="2098536520"/>
      </c:barChart>
      <c:scatterChart>
        <c:scatterStyle val="lineMarker"/>
        <c:varyColors val="0"/>
        <c:ser>
          <c:idx val="1"/>
          <c:order val="1"/>
          <c:tx>
            <c:strRef>
              <c:f>'May''15'!$D$2</c:f>
              <c:strCache>
                <c:ptCount val="1"/>
                <c:pt idx="0">
                  <c:v>CH4 (%)</c:v>
                </c:pt>
              </c:strCache>
            </c:strRef>
          </c:tx>
          <c:spPr>
            <a:ln w="47625">
              <a:noFill/>
            </a:ln>
          </c:spPr>
          <c:marker>
            <c:symbol val="square"/>
            <c:size val="9"/>
            <c:spPr>
              <a:solidFill>
                <a:schemeClr val="bg1"/>
              </a:solidFill>
              <a:ln w="19050" cmpd="sng">
                <a:solidFill>
                  <a:srgbClr val="0000FF"/>
                </a:solidFill>
              </a:ln>
            </c:spPr>
          </c:marker>
          <c:xVal>
            <c:numRef>
              <c:f>'May''15'!$B$3:$B$33</c:f>
              <c:numCache>
                <c:formatCode>0</c:formatCode>
                <c:ptCount val="31"/>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numCache>
            </c:numRef>
          </c:xVal>
          <c:yVal>
            <c:numRef>
              <c:f>'May''15'!$D$3:$D$33</c:f>
              <c:numCache>
                <c:formatCode>0.0</c:formatCode>
                <c:ptCount val="31"/>
                <c:pt idx="0">
                  <c:v>60.3</c:v>
                </c:pt>
                <c:pt idx="5">
                  <c:v>62.3</c:v>
                </c:pt>
                <c:pt idx="6">
                  <c:v>61.2</c:v>
                </c:pt>
                <c:pt idx="7">
                  <c:v>61.4</c:v>
                </c:pt>
                <c:pt idx="9">
                  <c:v>60.7</c:v>
                </c:pt>
                <c:pt idx="10">
                  <c:v>60.5</c:v>
                </c:pt>
                <c:pt idx="11">
                  <c:v>60.3</c:v>
                </c:pt>
                <c:pt idx="12">
                  <c:v>60.0</c:v>
                </c:pt>
                <c:pt idx="13">
                  <c:v>60.5</c:v>
                </c:pt>
                <c:pt idx="14">
                  <c:v>60.3</c:v>
                </c:pt>
                <c:pt idx="15">
                  <c:v>60.0</c:v>
                </c:pt>
                <c:pt idx="16">
                  <c:v>59.9</c:v>
                </c:pt>
                <c:pt idx="17">
                  <c:v>59.6</c:v>
                </c:pt>
                <c:pt idx="18">
                  <c:v>59.5</c:v>
                </c:pt>
                <c:pt idx="20">
                  <c:v>60.2</c:v>
                </c:pt>
                <c:pt idx="21">
                  <c:v>61.1</c:v>
                </c:pt>
                <c:pt idx="22">
                  <c:v>62.3</c:v>
                </c:pt>
                <c:pt idx="23">
                  <c:v>63.2</c:v>
                </c:pt>
                <c:pt idx="24">
                  <c:v>63.2</c:v>
                </c:pt>
                <c:pt idx="25">
                  <c:v>62.0</c:v>
                </c:pt>
                <c:pt idx="26">
                  <c:v>61.8</c:v>
                </c:pt>
                <c:pt idx="27">
                  <c:v>60.7</c:v>
                </c:pt>
                <c:pt idx="28">
                  <c:v>61.9</c:v>
                </c:pt>
              </c:numCache>
            </c:numRef>
          </c:yVal>
          <c:smooth val="0"/>
        </c:ser>
        <c:ser>
          <c:idx val="2"/>
          <c:order val="2"/>
          <c:tx>
            <c:strRef>
              <c:f>'May''15'!$E$2</c:f>
              <c:strCache>
                <c:ptCount val="1"/>
                <c:pt idx="0">
                  <c:v>H2S (ppm)</c:v>
                </c:pt>
              </c:strCache>
            </c:strRef>
          </c:tx>
          <c:spPr>
            <a:ln w="47625">
              <a:noFill/>
            </a:ln>
          </c:spPr>
          <c:marker>
            <c:symbol val="plus"/>
            <c:size val="9"/>
            <c:spPr>
              <a:ln>
                <a:solidFill>
                  <a:schemeClr val="tx1"/>
                </a:solidFill>
              </a:ln>
            </c:spPr>
          </c:marker>
          <c:dPt>
            <c:idx val="1"/>
            <c:marker>
              <c:spPr>
                <a:ln w="19050" cmpd="sng">
                  <a:solidFill>
                    <a:schemeClr val="tx1"/>
                  </a:solidFill>
                </a:ln>
              </c:spPr>
            </c:marker>
            <c:bubble3D val="0"/>
          </c:dPt>
          <c:xVal>
            <c:numRef>
              <c:f>'May''15'!$B$3:$B$34</c:f>
              <c:numCache>
                <c:formatCode>0</c:formatCode>
                <c:ptCount val="32"/>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numCache>
            </c:numRef>
          </c:xVal>
          <c:yVal>
            <c:numRef>
              <c:f>'May''15'!$E$3:$E$34</c:f>
              <c:numCache>
                <c:formatCode>General</c:formatCode>
                <c:ptCount val="32"/>
                <c:pt idx="0">
                  <c:v>222.0</c:v>
                </c:pt>
                <c:pt idx="1">
                  <c:v>174.0</c:v>
                </c:pt>
                <c:pt idx="2">
                  <c:v>266.0</c:v>
                </c:pt>
                <c:pt idx="5">
                  <c:v>194.0</c:v>
                </c:pt>
                <c:pt idx="6">
                  <c:v>364.0</c:v>
                </c:pt>
                <c:pt idx="7">
                  <c:v>289.0</c:v>
                </c:pt>
                <c:pt idx="9">
                  <c:v>369.0</c:v>
                </c:pt>
                <c:pt idx="10">
                  <c:v>350.0</c:v>
                </c:pt>
                <c:pt idx="11">
                  <c:v>275.0</c:v>
                </c:pt>
                <c:pt idx="12">
                  <c:v>262.0</c:v>
                </c:pt>
                <c:pt idx="13">
                  <c:v>342.0</c:v>
                </c:pt>
                <c:pt idx="14">
                  <c:v>330.0</c:v>
                </c:pt>
                <c:pt idx="15">
                  <c:v>323.0</c:v>
                </c:pt>
                <c:pt idx="16">
                  <c:v>358.0</c:v>
                </c:pt>
                <c:pt idx="17">
                  <c:v>432.0</c:v>
                </c:pt>
                <c:pt idx="18">
                  <c:v>295.0</c:v>
                </c:pt>
                <c:pt idx="20">
                  <c:v>320.0</c:v>
                </c:pt>
                <c:pt idx="21">
                  <c:v>480.0</c:v>
                </c:pt>
                <c:pt idx="22">
                  <c:v>329.0</c:v>
                </c:pt>
                <c:pt idx="23">
                  <c:v>413.0</c:v>
                </c:pt>
                <c:pt idx="24">
                  <c:v>333.0</c:v>
                </c:pt>
                <c:pt idx="25">
                  <c:v>367.0</c:v>
                </c:pt>
                <c:pt idx="26">
                  <c:v>400.0</c:v>
                </c:pt>
                <c:pt idx="27">
                  <c:v>263.0</c:v>
                </c:pt>
                <c:pt idx="28">
                  <c:v>196.0</c:v>
                </c:pt>
              </c:numCache>
            </c:numRef>
          </c:yVal>
          <c:smooth val="0"/>
        </c:ser>
        <c:dLbls>
          <c:showLegendKey val="0"/>
          <c:showVal val="0"/>
          <c:showCatName val="0"/>
          <c:showSerName val="0"/>
          <c:showPercent val="0"/>
          <c:showBubbleSize val="0"/>
        </c:dLbls>
        <c:axId val="2098524840"/>
        <c:axId val="2098530584"/>
      </c:scatterChart>
      <c:catAx>
        <c:axId val="2098539592"/>
        <c:scaling>
          <c:orientation val="minMax"/>
        </c:scaling>
        <c:delete val="0"/>
        <c:axPos val="b"/>
        <c:numFmt formatCode="0" sourceLinked="1"/>
        <c:majorTickMark val="out"/>
        <c:minorTickMark val="none"/>
        <c:tickLblPos val="nextTo"/>
        <c:crossAx val="2098536520"/>
        <c:crosses val="autoZero"/>
        <c:auto val="0"/>
        <c:lblAlgn val="ctr"/>
        <c:lblOffset val="100"/>
        <c:noMultiLvlLbl val="1"/>
      </c:catAx>
      <c:valAx>
        <c:axId val="2098536520"/>
        <c:scaling>
          <c:orientation val="minMax"/>
          <c:max val="3000.0"/>
        </c:scaling>
        <c:delete val="0"/>
        <c:axPos val="l"/>
        <c:title>
          <c:tx>
            <c:rich>
              <a:bodyPr rot="-5400000" vert="horz"/>
              <a:lstStyle/>
              <a:p>
                <a:pPr>
                  <a:defRPr sz="1200"/>
                </a:pPr>
                <a:r>
                  <a:rPr lang="en-US" sz="1200"/>
                  <a:t>biogas volume</a:t>
                </a:r>
                <a:r>
                  <a:rPr lang="en-US" sz="1200" baseline="0"/>
                  <a:t> (m3)</a:t>
                </a:r>
                <a:endParaRPr lang="en-US" sz="1200"/>
              </a:p>
            </c:rich>
          </c:tx>
          <c:layout/>
          <c:overlay val="0"/>
        </c:title>
        <c:numFmt formatCode="#,##0" sourceLinked="1"/>
        <c:majorTickMark val="out"/>
        <c:minorTickMark val="none"/>
        <c:tickLblPos val="nextTo"/>
        <c:txPr>
          <a:bodyPr/>
          <a:lstStyle/>
          <a:p>
            <a:pPr>
              <a:defRPr sz="1200"/>
            </a:pPr>
            <a:endParaRPr lang="en-US"/>
          </a:p>
        </c:txPr>
        <c:crossAx val="2098539592"/>
        <c:crosses val="autoZero"/>
        <c:crossBetween val="between"/>
      </c:valAx>
      <c:valAx>
        <c:axId val="2098530584"/>
        <c:scaling>
          <c:orientation val="minMax"/>
          <c:max val="600.0"/>
        </c:scaling>
        <c:delete val="0"/>
        <c:axPos val="r"/>
        <c:title>
          <c:tx>
            <c:rich>
              <a:bodyPr rot="-5400000" vert="horz"/>
              <a:lstStyle/>
              <a:p>
                <a:pPr>
                  <a:defRPr sz="1200"/>
                </a:pPr>
                <a:r>
                  <a:rPr lang="en-US" sz="1200"/>
                  <a:t>methane (%), H2S</a:t>
                </a:r>
                <a:r>
                  <a:rPr lang="en-US" sz="1200" baseline="0"/>
                  <a:t> (ppm</a:t>
                </a:r>
                <a:endParaRPr lang="en-US" sz="1200"/>
              </a:p>
            </c:rich>
          </c:tx>
          <c:layout/>
          <c:overlay val="0"/>
        </c:title>
        <c:numFmt formatCode="0.0" sourceLinked="1"/>
        <c:majorTickMark val="out"/>
        <c:minorTickMark val="none"/>
        <c:tickLblPos val="nextTo"/>
        <c:txPr>
          <a:bodyPr/>
          <a:lstStyle/>
          <a:p>
            <a:pPr>
              <a:defRPr sz="1200"/>
            </a:pPr>
            <a:endParaRPr lang="en-US"/>
          </a:p>
        </c:txPr>
        <c:crossAx val="2098524840"/>
        <c:crosses val="max"/>
        <c:crossBetween val="midCat"/>
      </c:valAx>
      <c:valAx>
        <c:axId val="2098524840"/>
        <c:scaling>
          <c:orientation val="minMax"/>
        </c:scaling>
        <c:delete val="1"/>
        <c:axPos val="b"/>
        <c:numFmt formatCode="0" sourceLinked="1"/>
        <c:majorTickMark val="out"/>
        <c:minorTickMark val="none"/>
        <c:tickLblPos val="nextTo"/>
        <c:crossAx val="2098530584"/>
        <c:crosses val="autoZero"/>
        <c:crossBetween val="midCat"/>
      </c:valAx>
      <c:spPr>
        <a:noFill/>
        <a:ln>
          <a:noFill/>
        </a:ln>
      </c:spPr>
    </c:plotArea>
    <c:legend>
      <c:legendPos val="r"/>
      <c:layout>
        <c:manualLayout>
          <c:xMode val="edge"/>
          <c:yMode val="edge"/>
          <c:x val="0.134741918009635"/>
          <c:y val="0.125893842400273"/>
          <c:w val="0.17764224496508"/>
          <c:h val="0.160703780319213"/>
        </c:manualLayout>
      </c:layout>
      <c:overlay val="0"/>
      <c:txPr>
        <a:bodyPr/>
        <a:lstStyle/>
        <a:p>
          <a:pPr>
            <a:defRPr sz="1200"/>
          </a:pPr>
          <a:endParaRPr lang="en-US"/>
        </a:p>
      </c:txPr>
    </c:legend>
    <c:plotVisOnly val="1"/>
    <c:dispBlanksAs val="gap"/>
    <c:showDLblsOverMax val="0"/>
  </c:chart>
  <c:spPr>
    <a:noFill/>
    <a:ln>
      <a:noFill/>
    </a:ln>
  </c:spPr>
  <c:printSettings>
    <c:headerFooter/>
    <c:pageMargins b="1.0" l="0.75" r="0.75" t="1.0"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1"/>
          <c:order val="1"/>
          <c:tx>
            <c:strRef>
              <c:f>'May''15'!$H$2</c:f>
              <c:strCache>
                <c:ptCount val="1"/>
                <c:pt idx="0">
                  <c:v>electricity produced (kWh)</c:v>
                </c:pt>
              </c:strCache>
            </c:strRef>
          </c:tx>
          <c:spPr>
            <a:ln w="47625">
              <a:noFill/>
            </a:ln>
          </c:spPr>
          <c:invertIfNegative val="0"/>
          <c:cat>
            <c:numRef>
              <c:f>'May''15'!$F$3:$F$33</c:f>
              <c:numCache>
                <c:formatCode>0</c:formatCode>
                <c:ptCount val="31"/>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numCache>
            </c:numRef>
          </c:cat>
          <c:val>
            <c:numRef>
              <c:f>'May''15'!$H$3:$H$33</c:f>
              <c:numCache>
                <c:formatCode>#,##0</c:formatCode>
                <c:ptCount val="31"/>
                <c:pt idx="0">
                  <c:v>4035.967438952146</c:v>
                </c:pt>
                <c:pt idx="1">
                  <c:v>4885.417867441714</c:v>
                </c:pt>
                <c:pt idx="2">
                  <c:v>5017.043478248173</c:v>
                </c:pt>
                <c:pt idx="5">
                  <c:v>5000.909512762371</c:v>
                </c:pt>
                <c:pt idx="6">
                  <c:v>5689.559748419341</c:v>
                </c:pt>
                <c:pt idx="7">
                  <c:v>5422.895805148918</c:v>
                </c:pt>
                <c:pt idx="9">
                  <c:v>5229.684137446356</c:v>
                </c:pt>
                <c:pt idx="10">
                  <c:v>4945.263157885965</c:v>
                </c:pt>
                <c:pt idx="11">
                  <c:v>4431.168831195628</c:v>
                </c:pt>
                <c:pt idx="12">
                  <c:v>3031.944827583773</c:v>
                </c:pt>
                <c:pt idx="13">
                  <c:v>4415.020408152775</c:v>
                </c:pt>
                <c:pt idx="14">
                  <c:v>4448.135593235698</c:v>
                </c:pt>
                <c:pt idx="15">
                  <c:v>4303.682719537517</c:v>
                </c:pt>
                <c:pt idx="17">
                  <c:v>9188.892355680877</c:v>
                </c:pt>
                <c:pt idx="18">
                  <c:v>4032.39263805409</c:v>
                </c:pt>
                <c:pt idx="20">
                  <c:v>4200.879581146712</c:v>
                </c:pt>
                <c:pt idx="21">
                  <c:v>4417.010526304963</c:v>
                </c:pt>
                <c:pt idx="22">
                  <c:v>4566.0</c:v>
                </c:pt>
                <c:pt idx="23">
                  <c:v>5140.15224915151</c:v>
                </c:pt>
                <c:pt idx="24">
                  <c:v>6031.117241374467</c:v>
                </c:pt>
                <c:pt idx="25">
                  <c:v>5710.0</c:v>
                </c:pt>
                <c:pt idx="26">
                  <c:v>5443.100346038302</c:v>
                </c:pt>
                <c:pt idx="27">
                  <c:v>4815.721254339773</c:v>
                </c:pt>
                <c:pt idx="28">
                  <c:v>5414.719334721955</c:v>
                </c:pt>
                <c:pt idx="29">
                  <c:v>1960.979706094244</c:v>
                </c:pt>
                <c:pt idx="30">
                  <c:v>5313.890489880563</c:v>
                </c:pt>
              </c:numCache>
            </c:numRef>
          </c:val>
        </c:ser>
        <c:dLbls>
          <c:showLegendKey val="0"/>
          <c:showVal val="0"/>
          <c:showCatName val="0"/>
          <c:showSerName val="0"/>
          <c:showPercent val="0"/>
          <c:showBubbleSize val="0"/>
        </c:dLbls>
        <c:gapWidth val="10"/>
        <c:axId val="2105543944"/>
        <c:axId val="2105541320"/>
      </c:barChart>
      <c:scatterChart>
        <c:scatterStyle val="lineMarker"/>
        <c:varyColors val="0"/>
        <c:ser>
          <c:idx val="0"/>
          <c:order val="0"/>
          <c:tx>
            <c:strRef>
              <c:f>'May''15'!$G$2</c:f>
              <c:strCache>
                <c:ptCount val="1"/>
                <c:pt idx="0">
                  <c:v>electricity consumed (kWh)</c:v>
                </c:pt>
              </c:strCache>
            </c:strRef>
          </c:tx>
          <c:spPr>
            <a:ln w="47625">
              <a:noFill/>
            </a:ln>
          </c:spPr>
          <c:marker>
            <c:symbol val="circle"/>
            <c:size val="12"/>
            <c:spPr>
              <a:solidFill>
                <a:schemeClr val="bg1"/>
              </a:solidFill>
              <a:ln>
                <a:solidFill>
                  <a:srgbClr val="FF0000"/>
                </a:solidFill>
              </a:ln>
            </c:spPr>
          </c:marker>
          <c:xVal>
            <c:numRef>
              <c:f>'May''15'!$F$3:$F$33</c:f>
              <c:numCache>
                <c:formatCode>0</c:formatCode>
                <c:ptCount val="31"/>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numCache>
            </c:numRef>
          </c:xVal>
          <c:yVal>
            <c:numRef>
              <c:f>'May''15'!$G$3:$G$33</c:f>
              <c:numCache>
                <c:formatCode>#,##0</c:formatCode>
                <c:ptCount val="31"/>
                <c:pt idx="0">
                  <c:v>694.3018159055301</c:v>
                </c:pt>
                <c:pt idx="1">
                  <c:v>641.1527377530218</c:v>
                </c:pt>
                <c:pt idx="2">
                  <c:v>590.6086956506792</c:v>
                </c:pt>
                <c:pt idx="5">
                  <c:v>646.4965197217523</c:v>
                </c:pt>
                <c:pt idx="6">
                  <c:v>672.201257860651</c:v>
                </c:pt>
                <c:pt idx="7">
                  <c:v>623.545331529879</c:v>
                </c:pt>
                <c:pt idx="9">
                  <c:v>581.298160360328</c:v>
                </c:pt>
                <c:pt idx="10">
                  <c:v>561.4404432123006</c:v>
                </c:pt>
                <c:pt idx="11">
                  <c:v>554.80519480855</c:v>
                </c:pt>
                <c:pt idx="12">
                  <c:v>628.634482758116</c:v>
                </c:pt>
                <c:pt idx="13">
                  <c:v>491.755102039648</c:v>
                </c:pt>
                <c:pt idx="14">
                  <c:v>627.4576271208107</c:v>
                </c:pt>
                <c:pt idx="15">
                  <c:v>509.9150141632128</c:v>
                </c:pt>
                <c:pt idx="17">
                  <c:v>1207.862714506825</c:v>
                </c:pt>
                <c:pt idx="18">
                  <c:v>596.8098159534777</c:v>
                </c:pt>
                <c:pt idx="20">
                  <c:v>549.361256543833</c:v>
                </c:pt>
                <c:pt idx="21">
                  <c:v>496.1684210514156</c:v>
                </c:pt>
                <c:pt idx="22">
                  <c:v>532.0</c:v>
                </c:pt>
                <c:pt idx="23">
                  <c:v>577.9930795866376</c:v>
                </c:pt>
                <c:pt idx="24">
                  <c:v>504.4965517237329</c:v>
                </c:pt>
                <c:pt idx="25">
                  <c:v>530.0</c:v>
                </c:pt>
                <c:pt idx="26">
                  <c:v>589.9515570953267</c:v>
                </c:pt>
                <c:pt idx="27">
                  <c:v>437.5191637616464</c:v>
                </c:pt>
                <c:pt idx="28">
                  <c:v>540.8731808734427</c:v>
                </c:pt>
                <c:pt idx="29">
                  <c:v>544.1567529757924</c:v>
                </c:pt>
                <c:pt idx="30">
                  <c:v>531.1815561926686</c:v>
                </c:pt>
              </c:numCache>
            </c:numRef>
          </c:yVal>
          <c:smooth val="0"/>
        </c:ser>
        <c:dLbls>
          <c:showLegendKey val="0"/>
          <c:showVal val="0"/>
          <c:showCatName val="0"/>
          <c:showSerName val="0"/>
          <c:showPercent val="0"/>
          <c:showBubbleSize val="0"/>
        </c:dLbls>
        <c:axId val="2105543944"/>
        <c:axId val="2105541320"/>
      </c:scatterChart>
      <c:catAx>
        <c:axId val="2105543944"/>
        <c:scaling>
          <c:orientation val="minMax"/>
        </c:scaling>
        <c:delete val="0"/>
        <c:axPos val="b"/>
        <c:numFmt formatCode="0" sourceLinked="1"/>
        <c:majorTickMark val="out"/>
        <c:minorTickMark val="none"/>
        <c:tickLblPos val="nextTo"/>
        <c:crossAx val="2105541320"/>
        <c:crosses val="autoZero"/>
        <c:auto val="1"/>
        <c:lblAlgn val="ctr"/>
        <c:lblOffset val="100"/>
        <c:noMultiLvlLbl val="1"/>
      </c:catAx>
      <c:valAx>
        <c:axId val="2105541320"/>
        <c:scaling>
          <c:orientation val="minMax"/>
          <c:max val="9000.0"/>
        </c:scaling>
        <c:delete val="0"/>
        <c:axPos val="l"/>
        <c:title>
          <c:tx>
            <c:rich>
              <a:bodyPr rot="-5400000" vert="horz"/>
              <a:lstStyle/>
              <a:p>
                <a:pPr>
                  <a:defRPr sz="1200"/>
                </a:pPr>
                <a:r>
                  <a:rPr lang="en-US" sz="1200"/>
                  <a:t>electricity</a:t>
                </a:r>
                <a:r>
                  <a:rPr lang="en-US" sz="1200" baseline="0"/>
                  <a:t> (kWh)</a:t>
                </a:r>
                <a:endParaRPr lang="en-US" sz="1200"/>
              </a:p>
            </c:rich>
          </c:tx>
          <c:overlay val="0"/>
        </c:title>
        <c:numFmt formatCode="#,##0" sourceLinked="1"/>
        <c:majorTickMark val="out"/>
        <c:minorTickMark val="none"/>
        <c:tickLblPos val="nextTo"/>
        <c:txPr>
          <a:bodyPr/>
          <a:lstStyle/>
          <a:p>
            <a:pPr>
              <a:defRPr sz="1200"/>
            </a:pPr>
            <a:endParaRPr lang="en-US"/>
          </a:p>
        </c:txPr>
        <c:crossAx val="2105543944"/>
        <c:crosses val="autoZero"/>
        <c:crossBetween val="between"/>
      </c:valAx>
      <c:spPr>
        <a:noFill/>
        <a:ln>
          <a:noFill/>
        </a:ln>
      </c:spPr>
    </c:plotArea>
    <c:legend>
      <c:legendPos val="r"/>
      <c:layout>
        <c:manualLayout>
          <c:xMode val="edge"/>
          <c:yMode val="edge"/>
          <c:x val="0.149266778399688"/>
          <c:y val="0.12990972297006"/>
          <c:w val="0.134591805542379"/>
          <c:h val="0.181357671733435"/>
        </c:manualLayout>
      </c:layout>
      <c:overlay val="0"/>
      <c:txPr>
        <a:bodyPr/>
        <a:lstStyle/>
        <a:p>
          <a:pPr>
            <a:defRPr sz="1200"/>
          </a:pPr>
          <a:endParaRPr lang="en-US"/>
        </a:p>
      </c:txPr>
    </c:legend>
    <c:plotVisOnly val="1"/>
    <c:dispBlanksAs val="gap"/>
    <c:showDLblsOverMax val="0"/>
  </c:chart>
  <c:spPr>
    <a:noFill/>
    <a:ln>
      <a:noFill/>
    </a:ln>
  </c:spPr>
  <c:printSettings>
    <c:headerFooter/>
    <c:pageMargins b="1.0" l="0.75" r="0.75" t="1.0"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lineMarker"/>
        <c:varyColors val="0"/>
        <c:ser>
          <c:idx val="0"/>
          <c:order val="0"/>
          <c:tx>
            <c:strRef>
              <c:f>'May''15'!$L$2</c:f>
              <c:strCache>
                <c:ptCount val="1"/>
                <c:pt idx="0">
                  <c:v>hydroylzer Ripley ratio</c:v>
                </c:pt>
              </c:strCache>
            </c:strRef>
          </c:tx>
          <c:spPr>
            <a:ln w="47625">
              <a:noFill/>
            </a:ln>
          </c:spPr>
          <c:xVal>
            <c:numRef>
              <c:f>'May''15'!$K$3:$K$33</c:f>
              <c:numCache>
                <c:formatCode>0</c:formatCode>
                <c:ptCount val="31"/>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numCache>
            </c:numRef>
          </c:xVal>
          <c:yVal>
            <c:numRef>
              <c:f>'May''15'!$L$3:$L$33</c:f>
              <c:numCache>
                <c:formatCode>General</c:formatCode>
                <c:ptCount val="31"/>
              </c:numCache>
            </c:numRef>
          </c:yVal>
          <c:smooth val="0"/>
        </c:ser>
        <c:ser>
          <c:idx val="1"/>
          <c:order val="1"/>
          <c:tx>
            <c:strRef>
              <c:f>'May''15'!$M$2</c:f>
              <c:strCache>
                <c:ptCount val="1"/>
                <c:pt idx="0">
                  <c:v>AD Ripley ratio</c:v>
                </c:pt>
              </c:strCache>
            </c:strRef>
          </c:tx>
          <c:spPr>
            <a:ln w="47625">
              <a:noFill/>
            </a:ln>
          </c:spPr>
          <c:xVal>
            <c:numRef>
              <c:f>'May''15'!$K$3:$K$33</c:f>
              <c:numCache>
                <c:formatCode>0</c:formatCode>
                <c:ptCount val="31"/>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numCache>
            </c:numRef>
          </c:xVal>
          <c:yVal>
            <c:numRef>
              <c:f>'May''15'!$M$3:$M$33</c:f>
              <c:numCache>
                <c:formatCode>General</c:formatCode>
                <c:ptCount val="31"/>
                <c:pt idx="0" formatCode="0.00">
                  <c:v>0.416666666666667</c:v>
                </c:pt>
                <c:pt idx="7" formatCode="0.00">
                  <c:v>0.48</c:v>
                </c:pt>
                <c:pt idx="14" formatCode="0.00">
                  <c:v>0.6075</c:v>
                </c:pt>
                <c:pt idx="20" formatCode="0.00">
                  <c:v>0.636666666666667</c:v>
                </c:pt>
                <c:pt idx="28" formatCode="0.00">
                  <c:v>0.836666666666667</c:v>
                </c:pt>
              </c:numCache>
            </c:numRef>
          </c:yVal>
          <c:smooth val="0"/>
        </c:ser>
        <c:dLbls>
          <c:showLegendKey val="0"/>
          <c:showVal val="0"/>
          <c:showCatName val="0"/>
          <c:showSerName val="0"/>
          <c:showPercent val="0"/>
          <c:showBubbleSize val="0"/>
        </c:dLbls>
        <c:axId val="2108040072"/>
        <c:axId val="2108043144"/>
      </c:scatterChart>
      <c:valAx>
        <c:axId val="2108040072"/>
        <c:scaling>
          <c:orientation val="minMax"/>
          <c:max val="31.0"/>
          <c:min val="0.0"/>
        </c:scaling>
        <c:delete val="0"/>
        <c:axPos val="b"/>
        <c:numFmt formatCode="0" sourceLinked="1"/>
        <c:majorTickMark val="out"/>
        <c:minorTickMark val="none"/>
        <c:tickLblPos val="nextTo"/>
        <c:crossAx val="2108043144"/>
        <c:crosses val="autoZero"/>
        <c:crossBetween val="midCat"/>
      </c:valAx>
      <c:valAx>
        <c:axId val="2108043144"/>
        <c:scaling>
          <c:orientation val="minMax"/>
        </c:scaling>
        <c:delete val="0"/>
        <c:axPos val="l"/>
        <c:title>
          <c:tx>
            <c:rich>
              <a:bodyPr rot="-5400000" vert="horz"/>
              <a:lstStyle/>
              <a:p>
                <a:pPr>
                  <a:defRPr sz="1200"/>
                </a:pPr>
                <a:r>
                  <a:rPr lang="en-US" sz="1200"/>
                  <a:t>Ripley ratio </a:t>
                </a:r>
              </a:p>
            </c:rich>
          </c:tx>
          <c:overlay val="0"/>
        </c:title>
        <c:numFmt formatCode="General" sourceLinked="1"/>
        <c:majorTickMark val="out"/>
        <c:minorTickMark val="none"/>
        <c:tickLblPos val="nextTo"/>
        <c:txPr>
          <a:bodyPr/>
          <a:lstStyle/>
          <a:p>
            <a:pPr>
              <a:defRPr sz="1200"/>
            </a:pPr>
            <a:endParaRPr lang="en-US"/>
          </a:p>
        </c:txPr>
        <c:crossAx val="2108040072"/>
        <c:crosses val="autoZero"/>
        <c:crossBetween val="midCat"/>
      </c:valAx>
      <c:spPr>
        <a:noFill/>
        <a:ln>
          <a:noFill/>
        </a:ln>
      </c:spPr>
    </c:plotArea>
    <c:legend>
      <c:legendPos val="r"/>
      <c:layout>
        <c:manualLayout>
          <c:xMode val="edge"/>
          <c:yMode val="edge"/>
          <c:x val="0.597334648536741"/>
          <c:y val="0.699205563839994"/>
          <c:w val="0.160859087807032"/>
          <c:h val="0.11282550582877"/>
        </c:manualLayout>
      </c:layout>
      <c:overlay val="0"/>
    </c:legend>
    <c:plotVisOnly val="1"/>
    <c:dispBlanksAs val="gap"/>
    <c:showDLblsOverMax val="0"/>
  </c:chart>
  <c:spPr>
    <a:noFill/>
    <a:ln>
      <a:noFill/>
    </a:ln>
  </c:spPr>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1"/>
          <c:order val="1"/>
          <c:tx>
            <c:strRef>
              <c:f>'Jan''15'!$H$2</c:f>
              <c:strCache>
                <c:ptCount val="1"/>
                <c:pt idx="0">
                  <c:v>electricity produced (kWh/day)</c:v>
                </c:pt>
              </c:strCache>
            </c:strRef>
          </c:tx>
          <c:spPr>
            <a:ln w="47625">
              <a:noFill/>
            </a:ln>
          </c:spPr>
          <c:invertIfNegative val="0"/>
          <c:cat>
            <c:numRef>
              <c:f>'Jan''15'!$F$3:$F$33</c:f>
              <c:numCache>
                <c:formatCode>0</c:formatCode>
                <c:ptCount val="31"/>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formatCode="General">
                  <c:v>31.0</c:v>
                </c:pt>
              </c:numCache>
            </c:numRef>
          </c:cat>
          <c:val>
            <c:numRef>
              <c:f>'Jan''15'!$H$3:$H$33</c:f>
              <c:numCache>
                <c:formatCode>#,##0</c:formatCode>
                <c:ptCount val="31"/>
                <c:pt idx="1">
                  <c:v>2925.738219902421</c:v>
                </c:pt>
                <c:pt idx="4">
                  <c:v>1771.183391000606</c:v>
                </c:pt>
                <c:pt idx="5">
                  <c:v>3241.237113409842</c:v>
                </c:pt>
                <c:pt idx="6">
                  <c:v>3504.484848484848</c:v>
                </c:pt>
                <c:pt idx="7">
                  <c:v>1231.883211676738</c:v>
                </c:pt>
                <c:pt idx="8">
                  <c:v>3162.201342291762</c:v>
                </c:pt>
                <c:pt idx="9">
                  <c:v>3268.602739720815</c:v>
                </c:pt>
                <c:pt idx="10">
                  <c:v>3157.974683553611</c:v>
                </c:pt>
                <c:pt idx="11">
                  <c:v>10780.50861359507</c:v>
                </c:pt>
                <c:pt idx="12">
                  <c:v>3162.874743314392</c:v>
                </c:pt>
                <c:pt idx="13">
                  <c:v>3031.731543633636</c:v>
                </c:pt>
                <c:pt idx="14">
                  <c:v>3686.823529408609</c:v>
                </c:pt>
                <c:pt idx="15">
                  <c:v>3078.588235294118</c:v>
                </c:pt>
                <c:pt idx="16">
                  <c:v>3227.657142867878</c:v>
                </c:pt>
                <c:pt idx="17">
                  <c:v>2841.977528076877</c:v>
                </c:pt>
                <c:pt idx="18">
                  <c:v>1816.32</c:v>
                </c:pt>
                <c:pt idx="19">
                  <c:v>1673.460490466666</c:v>
                </c:pt>
                <c:pt idx="20">
                  <c:v>1559.656160460664</c:v>
                </c:pt>
                <c:pt idx="21">
                  <c:v>1857.306122444567</c:v>
                </c:pt>
                <c:pt idx="22">
                  <c:v>2150.725423730511</c:v>
                </c:pt>
                <c:pt idx="23">
                  <c:v>1950.86925794732</c:v>
                </c:pt>
                <c:pt idx="24">
                  <c:v>2049.822064055241</c:v>
                </c:pt>
                <c:pt idx="25">
                  <c:v>2103.896103894513</c:v>
                </c:pt>
                <c:pt idx="27">
                  <c:v>0.0</c:v>
                </c:pt>
                <c:pt idx="28">
                  <c:v>5085.866666666666</c:v>
                </c:pt>
                <c:pt idx="29">
                  <c:v>2447.515151515151</c:v>
                </c:pt>
                <c:pt idx="30">
                  <c:v>2748.342857142857</c:v>
                </c:pt>
              </c:numCache>
            </c:numRef>
          </c:val>
        </c:ser>
        <c:dLbls>
          <c:showLegendKey val="0"/>
          <c:showVal val="0"/>
          <c:showCatName val="0"/>
          <c:showSerName val="0"/>
          <c:showPercent val="0"/>
          <c:showBubbleSize val="0"/>
        </c:dLbls>
        <c:gapWidth val="10"/>
        <c:axId val="2107076520"/>
        <c:axId val="2107082216"/>
      </c:barChart>
      <c:scatterChart>
        <c:scatterStyle val="lineMarker"/>
        <c:varyColors val="0"/>
        <c:ser>
          <c:idx val="0"/>
          <c:order val="0"/>
          <c:tx>
            <c:strRef>
              <c:f>'Jan''15'!$G$2</c:f>
              <c:strCache>
                <c:ptCount val="1"/>
                <c:pt idx="0">
                  <c:v>electricity consumed (kWh/day)</c:v>
                </c:pt>
              </c:strCache>
            </c:strRef>
          </c:tx>
          <c:spPr>
            <a:ln w="47625">
              <a:noFill/>
            </a:ln>
          </c:spPr>
          <c:marker>
            <c:symbol val="circle"/>
            <c:size val="12"/>
            <c:spPr>
              <a:solidFill>
                <a:schemeClr val="bg1"/>
              </a:solidFill>
              <a:ln>
                <a:solidFill>
                  <a:srgbClr val="FF0000"/>
                </a:solidFill>
              </a:ln>
            </c:spPr>
          </c:marker>
          <c:xVal>
            <c:numRef>
              <c:f>'Jan''15'!$F$3:$F$33</c:f>
              <c:numCache>
                <c:formatCode>0</c:formatCode>
                <c:ptCount val="31"/>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formatCode="General">
                  <c:v>31.0</c:v>
                </c:pt>
              </c:numCache>
            </c:numRef>
          </c:xVal>
          <c:yVal>
            <c:numRef>
              <c:f>'Jan''15'!$G$3:$G$33</c:f>
              <c:numCache>
                <c:formatCode>#,##0</c:formatCode>
                <c:ptCount val="31"/>
                <c:pt idx="1">
                  <c:v>606.6596858653534</c:v>
                </c:pt>
                <c:pt idx="4">
                  <c:v>546.1038062274938</c:v>
                </c:pt>
                <c:pt idx="5">
                  <c:v>606.6804123725902</c:v>
                </c:pt>
                <c:pt idx="6">
                  <c:v>634.1818181818182</c:v>
                </c:pt>
                <c:pt idx="7">
                  <c:v>509.781021896944</c:v>
                </c:pt>
                <c:pt idx="8">
                  <c:v>523.8120805385498</c:v>
                </c:pt>
                <c:pt idx="9">
                  <c:v>630.2465753414606</c:v>
                </c:pt>
                <c:pt idx="10">
                  <c:v>610.6329113942047</c:v>
                </c:pt>
                <c:pt idx="11">
                  <c:v>531.583264970171</c:v>
                </c:pt>
                <c:pt idx="12">
                  <c:v>678.1108829542852</c:v>
                </c:pt>
                <c:pt idx="13">
                  <c:v>669.7449664450461</c:v>
                </c:pt>
                <c:pt idx="14">
                  <c:v>570.7058823524525</c:v>
                </c:pt>
                <c:pt idx="15">
                  <c:v>599.5294117647059</c:v>
                </c:pt>
                <c:pt idx="16">
                  <c:v>565.7142857161674</c:v>
                </c:pt>
                <c:pt idx="17">
                  <c:v>582.471910109693</c:v>
                </c:pt>
                <c:pt idx="18">
                  <c:v>407.04</c:v>
                </c:pt>
                <c:pt idx="19">
                  <c:v>418.8555858319263</c:v>
                </c:pt>
                <c:pt idx="20">
                  <c:v>410.0286532957102</c:v>
                </c:pt>
                <c:pt idx="21">
                  <c:v>449.6326530601562</c:v>
                </c:pt>
                <c:pt idx="22">
                  <c:v>501.8033898309045</c:v>
                </c:pt>
                <c:pt idx="23">
                  <c:v>523.0812720839449</c:v>
                </c:pt>
                <c:pt idx="24">
                  <c:v>575.9999999995227</c:v>
                </c:pt>
                <c:pt idx="25">
                  <c:v>590.0259740255281</c:v>
                </c:pt>
                <c:pt idx="27">
                  <c:v>0.0</c:v>
                </c:pt>
                <c:pt idx="28">
                  <c:v>1364.266666666667</c:v>
                </c:pt>
                <c:pt idx="29">
                  <c:v>654.5454545454545</c:v>
                </c:pt>
                <c:pt idx="30">
                  <c:v>680.2285714285713</c:v>
                </c:pt>
              </c:numCache>
            </c:numRef>
          </c:yVal>
          <c:smooth val="0"/>
        </c:ser>
        <c:dLbls>
          <c:showLegendKey val="0"/>
          <c:showVal val="0"/>
          <c:showCatName val="0"/>
          <c:showSerName val="0"/>
          <c:showPercent val="0"/>
          <c:showBubbleSize val="0"/>
        </c:dLbls>
        <c:axId val="2107076520"/>
        <c:axId val="2107082216"/>
      </c:scatterChart>
      <c:catAx>
        <c:axId val="2107076520"/>
        <c:scaling>
          <c:orientation val="minMax"/>
        </c:scaling>
        <c:delete val="0"/>
        <c:axPos val="b"/>
        <c:numFmt formatCode="0" sourceLinked="1"/>
        <c:majorTickMark val="out"/>
        <c:minorTickMark val="none"/>
        <c:tickLblPos val="nextTo"/>
        <c:crossAx val="2107082216"/>
        <c:crosses val="autoZero"/>
        <c:auto val="1"/>
        <c:lblAlgn val="ctr"/>
        <c:lblOffset val="100"/>
        <c:noMultiLvlLbl val="1"/>
      </c:catAx>
      <c:valAx>
        <c:axId val="2107082216"/>
        <c:scaling>
          <c:orientation val="minMax"/>
          <c:max val="9000.0"/>
        </c:scaling>
        <c:delete val="0"/>
        <c:axPos val="l"/>
        <c:title>
          <c:tx>
            <c:rich>
              <a:bodyPr rot="-5400000" vert="horz"/>
              <a:lstStyle/>
              <a:p>
                <a:pPr>
                  <a:defRPr sz="1200"/>
                </a:pPr>
                <a:r>
                  <a:rPr lang="en-US" sz="1200"/>
                  <a:t>electricity</a:t>
                </a:r>
                <a:r>
                  <a:rPr lang="en-US" sz="1200" baseline="0"/>
                  <a:t> (kWh/day)</a:t>
                </a:r>
                <a:endParaRPr lang="en-US" sz="1200"/>
              </a:p>
            </c:rich>
          </c:tx>
          <c:overlay val="0"/>
        </c:title>
        <c:numFmt formatCode="#,##0" sourceLinked="1"/>
        <c:majorTickMark val="out"/>
        <c:minorTickMark val="none"/>
        <c:tickLblPos val="nextTo"/>
        <c:txPr>
          <a:bodyPr/>
          <a:lstStyle/>
          <a:p>
            <a:pPr>
              <a:defRPr sz="1200"/>
            </a:pPr>
            <a:endParaRPr lang="en-US"/>
          </a:p>
        </c:txPr>
        <c:crossAx val="2107076520"/>
        <c:crosses val="autoZero"/>
        <c:crossBetween val="between"/>
      </c:valAx>
      <c:spPr>
        <a:noFill/>
        <a:ln>
          <a:noFill/>
        </a:ln>
      </c:spPr>
    </c:plotArea>
    <c:legend>
      <c:legendPos val="r"/>
      <c:layout>
        <c:manualLayout>
          <c:xMode val="edge"/>
          <c:yMode val="edge"/>
          <c:x val="0.458756979701862"/>
          <c:y val="0.161772431172883"/>
          <c:w val="0.165340345970267"/>
          <c:h val="0.181357671733435"/>
        </c:manualLayout>
      </c:layout>
      <c:overlay val="0"/>
      <c:txPr>
        <a:bodyPr/>
        <a:lstStyle/>
        <a:p>
          <a:pPr>
            <a:defRPr sz="1200"/>
          </a:pPr>
          <a:endParaRPr lang="en-US"/>
        </a:p>
      </c:txPr>
    </c:legend>
    <c:plotVisOnly val="1"/>
    <c:dispBlanksAs val="gap"/>
    <c:showDLblsOverMax val="0"/>
  </c:chart>
  <c:spPr>
    <a:noFill/>
    <a:ln>
      <a:noFill/>
    </a:ln>
  </c:spPr>
  <c:printSettings>
    <c:headerFooter/>
    <c:pageMargins b="1.0" l="0.75" r="0.75" t="1.0"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lineMarker"/>
        <c:varyColors val="0"/>
        <c:ser>
          <c:idx val="0"/>
          <c:order val="0"/>
          <c:tx>
            <c:strRef>
              <c:f>'May''15'!$I$2</c:f>
              <c:strCache>
                <c:ptCount val="1"/>
                <c:pt idx="0">
                  <c:v>Hydrolyzer pH</c:v>
                </c:pt>
              </c:strCache>
            </c:strRef>
          </c:tx>
          <c:spPr>
            <a:ln w="47625">
              <a:noFill/>
            </a:ln>
          </c:spPr>
          <c:marker>
            <c:symbol val="triangle"/>
            <c:size val="15"/>
            <c:spPr>
              <a:solidFill>
                <a:schemeClr val="bg1"/>
              </a:solidFill>
              <a:ln>
                <a:solidFill>
                  <a:srgbClr val="0000FF"/>
                </a:solidFill>
              </a:ln>
            </c:spPr>
          </c:marker>
          <c:xVal>
            <c:numRef>
              <c:f>'May''15'!$K$3:$K$33</c:f>
              <c:numCache>
                <c:formatCode>0</c:formatCode>
                <c:ptCount val="31"/>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numCache>
            </c:numRef>
          </c:xVal>
          <c:yVal>
            <c:numRef>
              <c:f>'May''15'!$I$3:$I$33</c:f>
              <c:numCache>
                <c:formatCode>0.00</c:formatCode>
                <c:ptCount val="31"/>
                <c:pt idx="0">
                  <c:v>5.02</c:v>
                </c:pt>
                <c:pt idx="1">
                  <c:v>5.06</c:v>
                </c:pt>
                <c:pt idx="2">
                  <c:v>5.04</c:v>
                </c:pt>
                <c:pt idx="5">
                  <c:v>5.1</c:v>
                </c:pt>
                <c:pt idx="6">
                  <c:v>5.03</c:v>
                </c:pt>
                <c:pt idx="7">
                  <c:v>5.02</c:v>
                </c:pt>
                <c:pt idx="11">
                  <c:v>5.25</c:v>
                </c:pt>
                <c:pt idx="12">
                  <c:v>5.25</c:v>
                </c:pt>
                <c:pt idx="14">
                  <c:v>5.14</c:v>
                </c:pt>
                <c:pt idx="15">
                  <c:v>5.19</c:v>
                </c:pt>
                <c:pt idx="17">
                  <c:v>5.35</c:v>
                </c:pt>
                <c:pt idx="18">
                  <c:v>5.13</c:v>
                </c:pt>
                <c:pt idx="20">
                  <c:v>5.04</c:v>
                </c:pt>
                <c:pt idx="22">
                  <c:v>5.19</c:v>
                </c:pt>
                <c:pt idx="24">
                  <c:v>5.11</c:v>
                </c:pt>
                <c:pt idx="25">
                  <c:v>5.43</c:v>
                </c:pt>
                <c:pt idx="26">
                  <c:v>5.19</c:v>
                </c:pt>
                <c:pt idx="27">
                  <c:v>5.13</c:v>
                </c:pt>
                <c:pt idx="28">
                  <c:v>5.35</c:v>
                </c:pt>
              </c:numCache>
            </c:numRef>
          </c:yVal>
          <c:smooth val="0"/>
        </c:ser>
        <c:ser>
          <c:idx val="1"/>
          <c:order val="1"/>
          <c:tx>
            <c:strRef>
              <c:f>'May''15'!$J$2</c:f>
              <c:strCache>
                <c:ptCount val="1"/>
                <c:pt idx="0">
                  <c:v>AD pH</c:v>
                </c:pt>
              </c:strCache>
            </c:strRef>
          </c:tx>
          <c:spPr>
            <a:ln w="25400">
              <a:noFill/>
            </a:ln>
          </c:spPr>
          <c:marker>
            <c:symbol val="triangle"/>
            <c:size val="15"/>
            <c:spPr>
              <a:solidFill>
                <a:srgbClr val="0000FF"/>
              </a:solidFill>
              <a:ln>
                <a:solidFill>
                  <a:srgbClr val="0000FF"/>
                </a:solidFill>
              </a:ln>
            </c:spPr>
          </c:marker>
          <c:xVal>
            <c:numRef>
              <c:f>'May''15'!$K$3:$K$33</c:f>
              <c:numCache>
                <c:formatCode>0</c:formatCode>
                <c:ptCount val="31"/>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numCache>
            </c:numRef>
          </c:xVal>
          <c:yVal>
            <c:numRef>
              <c:f>'May''15'!$J$3:$J$33</c:f>
              <c:numCache>
                <c:formatCode>General</c:formatCode>
                <c:ptCount val="31"/>
                <c:pt idx="0">
                  <c:v>7.22</c:v>
                </c:pt>
                <c:pt idx="1">
                  <c:v>7.22</c:v>
                </c:pt>
                <c:pt idx="2">
                  <c:v>7.22</c:v>
                </c:pt>
                <c:pt idx="5">
                  <c:v>7.23</c:v>
                </c:pt>
                <c:pt idx="6">
                  <c:v>7.18</c:v>
                </c:pt>
                <c:pt idx="7">
                  <c:v>7.24</c:v>
                </c:pt>
                <c:pt idx="11">
                  <c:v>7.17</c:v>
                </c:pt>
                <c:pt idx="12">
                  <c:v>7.23</c:v>
                </c:pt>
                <c:pt idx="14">
                  <c:v>7.32</c:v>
                </c:pt>
                <c:pt idx="15">
                  <c:v>7.15</c:v>
                </c:pt>
                <c:pt idx="17">
                  <c:v>7.13</c:v>
                </c:pt>
                <c:pt idx="18">
                  <c:v>7.13</c:v>
                </c:pt>
                <c:pt idx="20">
                  <c:v>7.21</c:v>
                </c:pt>
                <c:pt idx="22">
                  <c:v>7.13</c:v>
                </c:pt>
                <c:pt idx="24">
                  <c:v>7.13</c:v>
                </c:pt>
                <c:pt idx="25">
                  <c:v>7.05</c:v>
                </c:pt>
                <c:pt idx="26">
                  <c:v>7.03</c:v>
                </c:pt>
                <c:pt idx="27">
                  <c:v>6.99</c:v>
                </c:pt>
                <c:pt idx="28">
                  <c:v>7.12</c:v>
                </c:pt>
              </c:numCache>
            </c:numRef>
          </c:yVal>
          <c:smooth val="0"/>
        </c:ser>
        <c:dLbls>
          <c:showLegendKey val="0"/>
          <c:showVal val="0"/>
          <c:showCatName val="0"/>
          <c:showSerName val="0"/>
          <c:showPercent val="0"/>
          <c:showBubbleSize val="0"/>
        </c:dLbls>
        <c:axId val="2099213624"/>
        <c:axId val="2098558424"/>
      </c:scatterChart>
      <c:valAx>
        <c:axId val="2099213624"/>
        <c:scaling>
          <c:orientation val="minMax"/>
          <c:max val="30.0"/>
        </c:scaling>
        <c:delete val="0"/>
        <c:axPos val="b"/>
        <c:numFmt formatCode="0" sourceLinked="1"/>
        <c:majorTickMark val="out"/>
        <c:minorTickMark val="none"/>
        <c:tickLblPos val="nextTo"/>
        <c:txPr>
          <a:bodyPr/>
          <a:lstStyle/>
          <a:p>
            <a:pPr>
              <a:defRPr sz="1000" b="0" i="0"/>
            </a:pPr>
            <a:endParaRPr lang="en-US"/>
          </a:p>
        </c:txPr>
        <c:crossAx val="2098558424"/>
        <c:crosses val="autoZero"/>
        <c:crossBetween val="midCat"/>
      </c:valAx>
      <c:valAx>
        <c:axId val="2098558424"/>
        <c:scaling>
          <c:orientation val="minMax"/>
          <c:max val="8.0"/>
          <c:min val="4.0"/>
        </c:scaling>
        <c:delete val="0"/>
        <c:axPos val="l"/>
        <c:title>
          <c:tx>
            <c:rich>
              <a:bodyPr rot="-5400000" vert="horz"/>
              <a:lstStyle/>
              <a:p>
                <a:pPr>
                  <a:defRPr sz="1200"/>
                </a:pPr>
                <a:r>
                  <a:rPr lang="en-US" sz="1200"/>
                  <a:t>pH</a:t>
                </a:r>
              </a:p>
            </c:rich>
          </c:tx>
          <c:overlay val="0"/>
        </c:title>
        <c:numFmt formatCode="0.00" sourceLinked="1"/>
        <c:majorTickMark val="out"/>
        <c:minorTickMark val="none"/>
        <c:tickLblPos val="nextTo"/>
        <c:txPr>
          <a:bodyPr/>
          <a:lstStyle/>
          <a:p>
            <a:pPr>
              <a:defRPr sz="1200" b="1" i="0"/>
            </a:pPr>
            <a:endParaRPr lang="en-US"/>
          </a:p>
        </c:txPr>
        <c:crossAx val="2099213624"/>
        <c:crosses val="autoZero"/>
        <c:crossBetween val="midCat"/>
      </c:valAx>
      <c:spPr>
        <a:noFill/>
        <a:ln>
          <a:noFill/>
        </a:ln>
      </c:spPr>
    </c:plotArea>
    <c:legend>
      <c:legendPos val="r"/>
      <c:layout>
        <c:manualLayout>
          <c:xMode val="edge"/>
          <c:yMode val="edge"/>
          <c:x val="0.165667962900343"/>
          <c:y val="0.379523370915042"/>
          <c:w val="0.118074368388001"/>
          <c:h val="0.155681784194197"/>
        </c:manualLayout>
      </c:layout>
      <c:overlay val="0"/>
    </c:legend>
    <c:plotVisOnly val="1"/>
    <c:dispBlanksAs val="gap"/>
    <c:showDLblsOverMax val="0"/>
  </c:chart>
  <c:spPr>
    <a:noFill/>
    <a:ln>
      <a:noFill/>
    </a:ln>
  </c:spPr>
  <c:printSettings>
    <c:headerFooter/>
    <c:pageMargins b="1.0" l="0.75" r="0.75" t="1.0" header="0.5" footer="0.5"/>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lineMarker"/>
        <c:varyColors val="0"/>
        <c:ser>
          <c:idx val="0"/>
          <c:order val="0"/>
          <c:tx>
            <c:strRef>
              <c:f>'Jun''15'!$I$2</c:f>
              <c:strCache>
                <c:ptCount val="1"/>
                <c:pt idx="0">
                  <c:v>Hydrolyzer pH</c:v>
                </c:pt>
              </c:strCache>
            </c:strRef>
          </c:tx>
          <c:spPr>
            <a:ln w="47625">
              <a:noFill/>
            </a:ln>
          </c:spPr>
          <c:marker>
            <c:symbol val="triangle"/>
            <c:size val="15"/>
            <c:spPr>
              <a:solidFill>
                <a:schemeClr val="bg1"/>
              </a:solidFill>
              <a:ln>
                <a:solidFill>
                  <a:srgbClr val="0000FF"/>
                </a:solidFill>
              </a:ln>
            </c:spPr>
          </c:marker>
          <c:xVal>
            <c:numRef>
              <c:f>'Jun''15'!$H$3:$H$32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xVal>
          <c:yVal>
            <c:numRef>
              <c:f>'Jun''15'!$I$3:$I$32</c:f>
              <c:numCache>
                <c:formatCode>0.00</c:formatCode>
                <c:ptCount val="30"/>
                <c:pt idx="0">
                  <c:v>5.35</c:v>
                </c:pt>
                <c:pt idx="3">
                  <c:v>5.15</c:v>
                </c:pt>
                <c:pt idx="7">
                  <c:v>5.34</c:v>
                </c:pt>
                <c:pt idx="8">
                  <c:v>5.08</c:v>
                </c:pt>
                <c:pt idx="10">
                  <c:v>4.97</c:v>
                </c:pt>
                <c:pt idx="11">
                  <c:v>4.88</c:v>
                </c:pt>
                <c:pt idx="15">
                  <c:v>5.16</c:v>
                </c:pt>
                <c:pt idx="16">
                  <c:v>5.1</c:v>
                </c:pt>
                <c:pt idx="17">
                  <c:v>5.2</c:v>
                </c:pt>
                <c:pt idx="18">
                  <c:v>5.2</c:v>
                </c:pt>
                <c:pt idx="19">
                  <c:v>5.16</c:v>
                </c:pt>
                <c:pt idx="20">
                  <c:v>5.15</c:v>
                </c:pt>
                <c:pt idx="21">
                  <c:v>5.25</c:v>
                </c:pt>
                <c:pt idx="22">
                  <c:v>5.42</c:v>
                </c:pt>
                <c:pt idx="23">
                  <c:v>5.29</c:v>
                </c:pt>
                <c:pt idx="24">
                  <c:v>5.27</c:v>
                </c:pt>
                <c:pt idx="25">
                  <c:v>5.12</c:v>
                </c:pt>
                <c:pt idx="26">
                  <c:v>5.15</c:v>
                </c:pt>
                <c:pt idx="27">
                  <c:v>5.23</c:v>
                </c:pt>
                <c:pt idx="28" formatCode="General">
                  <c:v>5.41</c:v>
                </c:pt>
                <c:pt idx="29" formatCode="General">
                  <c:v>5.53</c:v>
                </c:pt>
              </c:numCache>
            </c:numRef>
          </c:yVal>
          <c:smooth val="0"/>
        </c:ser>
        <c:ser>
          <c:idx val="1"/>
          <c:order val="1"/>
          <c:tx>
            <c:strRef>
              <c:f>'Jun''15'!$J$2</c:f>
              <c:strCache>
                <c:ptCount val="1"/>
                <c:pt idx="0">
                  <c:v>AD pH</c:v>
                </c:pt>
              </c:strCache>
            </c:strRef>
          </c:tx>
          <c:spPr>
            <a:ln w="25400">
              <a:noFill/>
            </a:ln>
          </c:spPr>
          <c:marker>
            <c:symbol val="triangle"/>
            <c:size val="15"/>
            <c:spPr>
              <a:solidFill>
                <a:srgbClr val="0000FF"/>
              </a:solidFill>
              <a:ln>
                <a:solidFill>
                  <a:srgbClr val="0000FF"/>
                </a:solidFill>
              </a:ln>
            </c:spPr>
          </c:marker>
          <c:xVal>
            <c:numRef>
              <c:f>'Jun''15'!$H$3:$H$32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xVal>
          <c:yVal>
            <c:numRef>
              <c:f>'Jun''15'!$J$3:$J$32</c:f>
              <c:numCache>
                <c:formatCode>General</c:formatCode>
                <c:ptCount val="30"/>
                <c:pt idx="0">
                  <c:v>7.02</c:v>
                </c:pt>
                <c:pt idx="3">
                  <c:v>7.02</c:v>
                </c:pt>
                <c:pt idx="7">
                  <c:v>7.09</c:v>
                </c:pt>
                <c:pt idx="8">
                  <c:v>7.06</c:v>
                </c:pt>
                <c:pt idx="10">
                  <c:v>7.04</c:v>
                </c:pt>
                <c:pt idx="11">
                  <c:v>7.11</c:v>
                </c:pt>
                <c:pt idx="15">
                  <c:v>7.09</c:v>
                </c:pt>
                <c:pt idx="16">
                  <c:v>7.1</c:v>
                </c:pt>
                <c:pt idx="17">
                  <c:v>7.16</c:v>
                </c:pt>
                <c:pt idx="18">
                  <c:v>7.14</c:v>
                </c:pt>
                <c:pt idx="19">
                  <c:v>7.13</c:v>
                </c:pt>
                <c:pt idx="20">
                  <c:v>7.11</c:v>
                </c:pt>
                <c:pt idx="21">
                  <c:v>7.16</c:v>
                </c:pt>
                <c:pt idx="22">
                  <c:v>7.12</c:v>
                </c:pt>
                <c:pt idx="23">
                  <c:v>7.12</c:v>
                </c:pt>
                <c:pt idx="24">
                  <c:v>7.18</c:v>
                </c:pt>
                <c:pt idx="25">
                  <c:v>7.21</c:v>
                </c:pt>
                <c:pt idx="26">
                  <c:v>7.2</c:v>
                </c:pt>
                <c:pt idx="27">
                  <c:v>7.15</c:v>
                </c:pt>
                <c:pt idx="28">
                  <c:v>7.19</c:v>
                </c:pt>
                <c:pt idx="29">
                  <c:v>7.18</c:v>
                </c:pt>
              </c:numCache>
            </c:numRef>
          </c:yVal>
          <c:smooth val="0"/>
        </c:ser>
        <c:dLbls>
          <c:showLegendKey val="0"/>
          <c:showVal val="0"/>
          <c:showCatName val="0"/>
          <c:showSerName val="0"/>
          <c:showPercent val="0"/>
          <c:showBubbleSize val="0"/>
        </c:dLbls>
        <c:axId val="2107478232"/>
        <c:axId val="2107483944"/>
      </c:scatterChart>
      <c:valAx>
        <c:axId val="2107478232"/>
        <c:scaling>
          <c:orientation val="minMax"/>
          <c:max val="30.0"/>
        </c:scaling>
        <c:delete val="0"/>
        <c:axPos val="b"/>
        <c:numFmt formatCode="0" sourceLinked="1"/>
        <c:majorTickMark val="out"/>
        <c:minorTickMark val="none"/>
        <c:tickLblPos val="nextTo"/>
        <c:txPr>
          <a:bodyPr/>
          <a:lstStyle/>
          <a:p>
            <a:pPr>
              <a:defRPr sz="1000" b="0" i="0"/>
            </a:pPr>
            <a:endParaRPr lang="en-US"/>
          </a:p>
        </c:txPr>
        <c:crossAx val="2107483944"/>
        <c:crosses val="autoZero"/>
        <c:crossBetween val="midCat"/>
      </c:valAx>
      <c:valAx>
        <c:axId val="2107483944"/>
        <c:scaling>
          <c:orientation val="minMax"/>
          <c:max val="8.0"/>
          <c:min val="4.0"/>
        </c:scaling>
        <c:delete val="0"/>
        <c:axPos val="l"/>
        <c:title>
          <c:tx>
            <c:rich>
              <a:bodyPr rot="-5400000" vert="horz"/>
              <a:lstStyle/>
              <a:p>
                <a:pPr>
                  <a:defRPr sz="1200"/>
                </a:pPr>
                <a:r>
                  <a:rPr lang="en-US" sz="1200"/>
                  <a:t>pH</a:t>
                </a:r>
              </a:p>
            </c:rich>
          </c:tx>
          <c:overlay val="0"/>
        </c:title>
        <c:numFmt formatCode="0.00" sourceLinked="1"/>
        <c:majorTickMark val="out"/>
        <c:minorTickMark val="none"/>
        <c:tickLblPos val="nextTo"/>
        <c:txPr>
          <a:bodyPr/>
          <a:lstStyle/>
          <a:p>
            <a:pPr>
              <a:defRPr sz="1200" b="1" i="0"/>
            </a:pPr>
            <a:endParaRPr lang="en-US"/>
          </a:p>
        </c:txPr>
        <c:crossAx val="2107478232"/>
        <c:crosses val="autoZero"/>
        <c:crossBetween val="midCat"/>
      </c:valAx>
      <c:spPr>
        <a:noFill/>
        <a:ln>
          <a:noFill/>
        </a:ln>
      </c:spPr>
    </c:plotArea>
    <c:legend>
      <c:legendPos val="r"/>
      <c:layout>
        <c:manualLayout>
          <c:xMode val="edge"/>
          <c:yMode val="edge"/>
          <c:x val="0.195840434579824"/>
          <c:y val="0.398903251364069"/>
          <c:w val="0.107295453921918"/>
          <c:h val="0.155681784194197"/>
        </c:manualLayout>
      </c:layout>
      <c:overlay val="0"/>
    </c:legend>
    <c:plotVisOnly val="1"/>
    <c:dispBlanksAs val="gap"/>
    <c:showDLblsOverMax val="0"/>
  </c:chart>
  <c:spPr>
    <a:noFill/>
    <a:ln>
      <a:noFill/>
    </a:ln>
  </c:spPr>
  <c:printSettings>
    <c:headerFooter/>
    <c:pageMargins b="1.0" l="0.75" r="0.75" t="1.0"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lineMarker"/>
        <c:varyColors val="0"/>
        <c:ser>
          <c:idx val="0"/>
          <c:order val="0"/>
          <c:tx>
            <c:strRef>
              <c:f>'Jun''15'!$AC$2</c:f>
              <c:strCache>
                <c:ptCount val="1"/>
                <c:pt idx="0">
                  <c:v>Genset tripped off</c:v>
                </c:pt>
              </c:strCache>
            </c:strRef>
          </c:tx>
          <c:spPr>
            <a:ln w="47625">
              <a:noFill/>
            </a:ln>
          </c:spPr>
          <c:xVal>
            <c:numRef>
              <c:f>'Jun''15'!$AB$3:$AB$32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xVal>
          <c:yVal>
            <c:numRef>
              <c:f>'Jun''15'!$AC$3:$AC$32</c:f>
              <c:numCache>
                <c:formatCode>General</c:formatCode>
                <c:ptCount val="30"/>
                <c:pt idx="1">
                  <c:v>1.0</c:v>
                </c:pt>
                <c:pt idx="2">
                  <c:v>1.0</c:v>
                </c:pt>
                <c:pt idx="3">
                  <c:v>0.0</c:v>
                </c:pt>
                <c:pt idx="4">
                  <c:v>1.0</c:v>
                </c:pt>
                <c:pt idx="5">
                  <c:v>1.0</c:v>
                </c:pt>
                <c:pt idx="6">
                  <c:v>1.0</c:v>
                </c:pt>
                <c:pt idx="7">
                  <c:v>1.0</c:v>
                </c:pt>
                <c:pt idx="9">
                  <c:v>1.0</c:v>
                </c:pt>
                <c:pt idx="29">
                  <c:v>1.0</c:v>
                </c:pt>
              </c:numCache>
            </c:numRef>
          </c:yVal>
          <c:smooth val="0"/>
        </c:ser>
        <c:ser>
          <c:idx val="1"/>
          <c:order val="1"/>
          <c:tx>
            <c:strRef>
              <c:f>'Jun''15'!$AD$2</c:f>
              <c:strCache>
                <c:ptCount val="1"/>
                <c:pt idx="0">
                  <c:v>Flare started manually</c:v>
                </c:pt>
              </c:strCache>
            </c:strRef>
          </c:tx>
          <c:spPr>
            <a:ln w="47625">
              <a:noFill/>
            </a:ln>
          </c:spPr>
          <c:xVal>
            <c:strRef>
              <c:f>'Jun''15'!$AD$3:$AD$32</c:f>
              <c:strCache>
                <c:ptCount val="15"/>
                <c:pt idx="1">
                  <c:v>2</c:v>
                </c:pt>
                <c:pt idx="3">
                  <c:v> </c:v>
                </c:pt>
                <c:pt idx="4">
                  <c:v>2</c:v>
                </c:pt>
                <c:pt idx="9">
                  <c:v>2</c:v>
                </c:pt>
                <c:pt idx="14">
                  <c:v>2</c:v>
                </c:pt>
              </c:strCache>
            </c:strRef>
          </c:xVal>
          <c:yVal>
            <c:numRef>
              <c:f>'Jun''15'!$AD$3:$AD$32</c:f>
              <c:numCache>
                <c:formatCode>General</c:formatCode>
                <c:ptCount val="30"/>
                <c:pt idx="1">
                  <c:v>2.0</c:v>
                </c:pt>
                <c:pt idx="3">
                  <c:v>0.0</c:v>
                </c:pt>
                <c:pt idx="4">
                  <c:v>2.0</c:v>
                </c:pt>
                <c:pt idx="9">
                  <c:v>2.0</c:v>
                </c:pt>
                <c:pt idx="14">
                  <c:v>2.0</c:v>
                </c:pt>
              </c:numCache>
            </c:numRef>
          </c:yVal>
          <c:smooth val="0"/>
        </c:ser>
        <c:ser>
          <c:idx val="2"/>
          <c:order val="2"/>
          <c:tx>
            <c:strRef>
              <c:f>'Jun''15'!$AE$2</c:f>
              <c:strCache>
                <c:ptCount val="1"/>
                <c:pt idx="0">
                  <c:v>Conveyer 2 breaker tripped</c:v>
                </c:pt>
              </c:strCache>
            </c:strRef>
          </c:tx>
          <c:spPr>
            <a:ln w="47625">
              <a:noFill/>
            </a:ln>
          </c:spPr>
          <c:xVal>
            <c:numRef>
              <c:f>'Jun''15'!$AB$3:$AB$32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xVal>
          <c:yVal>
            <c:numRef>
              <c:f>'Jun''15'!$AE$3:$AE$32</c:f>
              <c:numCache>
                <c:formatCode>General</c:formatCode>
                <c:ptCount val="30"/>
                <c:pt idx="3">
                  <c:v>3.0</c:v>
                </c:pt>
                <c:pt idx="18">
                  <c:v>3.0</c:v>
                </c:pt>
                <c:pt idx="19">
                  <c:v>3.0</c:v>
                </c:pt>
                <c:pt idx="20">
                  <c:v>3.0</c:v>
                </c:pt>
                <c:pt idx="21">
                  <c:v>3.0</c:v>
                </c:pt>
                <c:pt idx="26">
                  <c:v>3.0</c:v>
                </c:pt>
                <c:pt idx="27">
                  <c:v>3.0</c:v>
                </c:pt>
                <c:pt idx="29">
                  <c:v>3.0</c:v>
                </c:pt>
              </c:numCache>
            </c:numRef>
          </c:yVal>
          <c:smooth val="0"/>
        </c:ser>
        <c:ser>
          <c:idx val="3"/>
          <c:order val="3"/>
          <c:tx>
            <c:strRef>
              <c:f>'Jun''15'!$AF$2</c:f>
              <c:strCache>
                <c:ptCount val="1"/>
                <c:pt idx="0">
                  <c:v>AD vertical mixing pump out</c:v>
                </c:pt>
              </c:strCache>
            </c:strRef>
          </c:tx>
          <c:spPr>
            <a:ln w="47625">
              <a:noFill/>
            </a:ln>
          </c:spPr>
          <c:xVal>
            <c:numRef>
              <c:f>'Jun''15'!$AB$3:$AB$32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xVal>
          <c:yVal>
            <c:numRef>
              <c:f>'Jun''15'!$AF$3:$AF$32</c:f>
              <c:numCache>
                <c:formatCode>General</c:formatCode>
                <c:ptCount val="30"/>
                <c:pt idx="0">
                  <c:v>4.0</c:v>
                </c:pt>
                <c:pt idx="1">
                  <c:v>4.0</c:v>
                </c:pt>
                <c:pt idx="2">
                  <c:v>4.0</c:v>
                </c:pt>
                <c:pt idx="3">
                  <c:v>4.0</c:v>
                </c:pt>
                <c:pt idx="4">
                  <c:v>4.0</c:v>
                </c:pt>
                <c:pt idx="5">
                  <c:v>4.0</c:v>
                </c:pt>
                <c:pt idx="6">
                  <c:v>4.0</c:v>
                </c:pt>
              </c:numCache>
            </c:numRef>
          </c:yVal>
          <c:smooth val="0"/>
        </c:ser>
        <c:ser>
          <c:idx val="4"/>
          <c:order val="4"/>
          <c:tx>
            <c:strRef>
              <c:f>'Jun''15'!$AG$2</c:f>
              <c:strCache>
                <c:ptCount val="1"/>
                <c:pt idx="0">
                  <c:v>Calibrated gas analyzer</c:v>
                </c:pt>
              </c:strCache>
            </c:strRef>
          </c:tx>
          <c:spPr>
            <a:ln w="47625">
              <a:noFill/>
            </a:ln>
          </c:spPr>
          <c:xVal>
            <c:numRef>
              <c:f>'Jun''15'!$AB$3:$AB$32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xVal>
          <c:yVal>
            <c:numRef>
              <c:f>'Jun''15'!$AG$3:$AG$32</c:f>
              <c:numCache>
                <c:formatCode>General</c:formatCode>
                <c:ptCount val="30"/>
                <c:pt idx="8">
                  <c:v>5.0</c:v>
                </c:pt>
                <c:pt idx="24">
                  <c:v>5.0</c:v>
                </c:pt>
              </c:numCache>
            </c:numRef>
          </c:yVal>
          <c:smooth val="0"/>
        </c:ser>
        <c:ser>
          <c:idx val="5"/>
          <c:order val="5"/>
          <c:tx>
            <c:strRef>
              <c:f>'Jun''15'!$AH$2</c:f>
              <c:strCache>
                <c:ptCount val="1"/>
                <c:pt idx="0">
                  <c:v>Vent fan filters installed</c:v>
                </c:pt>
              </c:strCache>
            </c:strRef>
          </c:tx>
          <c:spPr>
            <a:ln w="47625">
              <a:noFill/>
            </a:ln>
          </c:spPr>
          <c:xVal>
            <c:numRef>
              <c:f>'Jun''15'!$AB$3:$AB$32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xVal>
          <c:yVal>
            <c:numRef>
              <c:f>'Jun''15'!$AH$3:$AH$32</c:f>
              <c:numCache>
                <c:formatCode>General</c:formatCode>
                <c:ptCount val="30"/>
                <c:pt idx="8">
                  <c:v>6.0</c:v>
                </c:pt>
                <c:pt idx="17">
                  <c:v>6.0</c:v>
                </c:pt>
              </c:numCache>
            </c:numRef>
          </c:yVal>
          <c:smooth val="0"/>
        </c:ser>
        <c:ser>
          <c:idx val="6"/>
          <c:order val="6"/>
          <c:tx>
            <c:strRef>
              <c:f>'Jun''15'!$AI$2</c:f>
              <c:strCache>
                <c:ptCount val="1"/>
                <c:pt idx="0">
                  <c:v>2G service; genset oil changed</c:v>
                </c:pt>
              </c:strCache>
            </c:strRef>
          </c:tx>
          <c:spPr>
            <a:ln w="47625">
              <a:noFill/>
            </a:ln>
          </c:spPr>
          <c:xVal>
            <c:numRef>
              <c:f>'Jun''15'!$AB$3:$AB$32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xVal>
          <c:yVal>
            <c:numRef>
              <c:f>'Jun''15'!$AI$3:$AI$32</c:f>
              <c:numCache>
                <c:formatCode>General</c:formatCode>
                <c:ptCount val="30"/>
                <c:pt idx="10">
                  <c:v>7.0</c:v>
                </c:pt>
              </c:numCache>
            </c:numRef>
          </c:yVal>
          <c:smooth val="0"/>
        </c:ser>
        <c:ser>
          <c:idx val="7"/>
          <c:order val="7"/>
          <c:tx>
            <c:strRef>
              <c:f>'Jun''15'!$AJ$2</c:f>
              <c:strCache>
                <c:ptCount val="1"/>
                <c:pt idx="0">
                  <c:v>Separator plugged w/ woodchips</c:v>
                </c:pt>
              </c:strCache>
            </c:strRef>
          </c:tx>
          <c:spPr>
            <a:ln w="47625">
              <a:noFill/>
            </a:ln>
          </c:spPr>
          <c:xVal>
            <c:numRef>
              <c:f>'Jun''15'!$AB$3:$AB$32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xVal>
          <c:yVal>
            <c:numRef>
              <c:f>'Jun''15'!$AJ$3:$AJ$32</c:f>
              <c:numCache>
                <c:formatCode>General</c:formatCode>
                <c:ptCount val="30"/>
                <c:pt idx="12">
                  <c:v>8.0</c:v>
                </c:pt>
                <c:pt idx="14">
                  <c:v>8.0</c:v>
                </c:pt>
                <c:pt idx="15">
                  <c:v>8.0</c:v>
                </c:pt>
              </c:numCache>
            </c:numRef>
          </c:yVal>
          <c:smooth val="0"/>
        </c:ser>
        <c:ser>
          <c:idx val="8"/>
          <c:order val="8"/>
          <c:tx>
            <c:strRef>
              <c:f>'Jun''15'!$AK$2</c:f>
              <c:strCache>
                <c:ptCount val="1"/>
                <c:pt idx="0">
                  <c:v>AD plug flushed</c:v>
                </c:pt>
              </c:strCache>
            </c:strRef>
          </c:tx>
          <c:spPr>
            <a:ln w="47625">
              <a:noFill/>
            </a:ln>
          </c:spPr>
          <c:xVal>
            <c:numRef>
              <c:f>'Jun''15'!$AB$3:$AB$32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xVal>
          <c:yVal>
            <c:numRef>
              <c:f>'Jun''15'!$AK$3:$AK$32</c:f>
              <c:numCache>
                <c:formatCode>General</c:formatCode>
                <c:ptCount val="30"/>
                <c:pt idx="15">
                  <c:v>9.0</c:v>
                </c:pt>
              </c:numCache>
            </c:numRef>
          </c:yVal>
          <c:smooth val="0"/>
        </c:ser>
        <c:dLbls>
          <c:showLegendKey val="0"/>
          <c:showVal val="0"/>
          <c:showCatName val="0"/>
          <c:showSerName val="0"/>
          <c:showPercent val="0"/>
          <c:showBubbleSize val="0"/>
        </c:dLbls>
        <c:axId val="2107560632"/>
        <c:axId val="2107563608"/>
      </c:scatterChart>
      <c:valAx>
        <c:axId val="2107560632"/>
        <c:scaling>
          <c:orientation val="minMax"/>
        </c:scaling>
        <c:delete val="0"/>
        <c:axPos val="b"/>
        <c:numFmt formatCode="0" sourceLinked="1"/>
        <c:majorTickMark val="out"/>
        <c:minorTickMark val="none"/>
        <c:tickLblPos val="nextTo"/>
        <c:crossAx val="2107563608"/>
        <c:crosses val="autoZero"/>
        <c:crossBetween val="midCat"/>
      </c:valAx>
      <c:valAx>
        <c:axId val="2107563608"/>
        <c:scaling>
          <c:orientation val="minMax"/>
        </c:scaling>
        <c:delete val="0"/>
        <c:axPos val="l"/>
        <c:numFmt formatCode="General" sourceLinked="1"/>
        <c:majorTickMark val="out"/>
        <c:minorTickMark val="none"/>
        <c:tickLblPos val="nextTo"/>
        <c:crossAx val="2107560632"/>
        <c:crosses val="autoZero"/>
        <c:crossBetween val="midCat"/>
      </c:valAx>
      <c:spPr>
        <a:noFill/>
        <a:ln>
          <a:noFill/>
        </a:ln>
      </c:spPr>
    </c:plotArea>
    <c:legend>
      <c:legendPos val="r"/>
      <c:layout/>
      <c:overlay val="0"/>
    </c:legend>
    <c:plotVisOnly val="1"/>
    <c:dispBlanksAs val="gap"/>
    <c:showDLblsOverMax val="0"/>
  </c:chart>
  <c:spPr>
    <a:noFill/>
    <a:ln>
      <a:noFill/>
    </a:ln>
  </c:spPr>
  <c:printSettings>
    <c:headerFooter/>
    <c:pageMargins b="1.0" l="0.75" r="0.75" t="1.0"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strRef>
              <c:f>'Jun''15'!$B$2</c:f>
              <c:strCache>
                <c:ptCount val="1"/>
                <c:pt idx="0">
                  <c:v>biogas consumed (m3/day)</c:v>
                </c:pt>
              </c:strCache>
            </c:strRef>
          </c:tx>
          <c:spPr>
            <a:ln w="47625">
              <a:noFill/>
            </a:ln>
          </c:spPr>
          <c:invertIfNegative val="0"/>
          <c:cat>
            <c:numRef>
              <c:f>'Jun''15'!$A$3:$A$32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cat>
          <c:val>
            <c:numRef>
              <c:f>'Jun''15'!$B$3:$B$33</c:f>
              <c:numCache>
                <c:formatCode>#,##0</c:formatCode>
                <c:ptCount val="31"/>
                <c:pt idx="0">
                  <c:v>1237.333333333333</c:v>
                </c:pt>
                <c:pt idx="1">
                  <c:v>801.6494845380066</c:v>
                </c:pt>
                <c:pt idx="3">
                  <c:v>549.0</c:v>
                </c:pt>
                <c:pt idx="4">
                  <c:v>694.4959128079714</c:v>
                </c:pt>
                <c:pt idx="5">
                  <c:v>1143.321653819574</c:v>
                </c:pt>
                <c:pt idx="6">
                  <c:v>820.8979591817232</c:v>
                </c:pt>
                <c:pt idx="7">
                  <c:v>718.4105960275977</c:v>
                </c:pt>
                <c:pt idx="8">
                  <c:v>1174.33962263979</c:v>
                </c:pt>
                <c:pt idx="9">
                  <c:v>1001.696306430665</c:v>
                </c:pt>
                <c:pt idx="10">
                  <c:v>1474.054054049416</c:v>
                </c:pt>
                <c:pt idx="11">
                  <c:v>1022.222222225161</c:v>
                </c:pt>
                <c:pt idx="12">
                  <c:v>1385.6</c:v>
                </c:pt>
                <c:pt idx="13">
                  <c:v>600.4135079237381</c:v>
                </c:pt>
                <c:pt idx="14">
                  <c:v>923.5443037966906</c:v>
                </c:pt>
                <c:pt idx="15">
                  <c:v>996.8354430442176</c:v>
                </c:pt>
                <c:pt idx="16">
                  <c:v>1064.527220627887</c:v>
                </c:pt>
                <c:pt idx="17">
                  <c:v>994.2628418921255</c:v>
                </c:pt>
                <c:pt idx="18">
                  <c:v>1238.241758241956</c:v>
                </c:pt>
                <c:pt idx="19">
                  <c:v>935.4893617044448</c:v>
                </c:pt>
                <c:pt idx="20">
                  <c:v>1123.485148512262</c:v>
                </c:pt>
                <c:pt idx="21">
                  <c:v>1153.043478266706</c:v>
                </c:pt>
                <c:pt idx="22">
                  <c:v>1134.514285709569</c:v>
                </c:pt>
                <c:pt idx="23">
                  <c:v>1161.0</c:v>
                </c:pt>
                <c:pt idx="24">
                  <c:v>1092.0</c:v>
                </c:pt>
                <c:pt idx="25">
                  <c:v>1126.65757162275</c:v>
                </c:pt>
                <c:pt idx="26">
                  <c:v>1129.257998638351</c:v>
                </c:pt>
                <c:pt idx="27">
                  <c:v>1080.774193548387</c:v>
                </c:pt>
                <c:pt idx="28">
                  <c:v>1162.560000002707</c:v>
                </c:pt>
                <c:pt idx="29">
                  <c:v>976.359680928044</c:v>
                </c:pt>
                <c:pt idx="30" formatCode="General">
                  <c:v>0.0</c:v>
                </c:pt>
              </c:numCache>
            </c:numRef>
          </c:val>
        </c:ser>
        <c:dLbls>
          <c:showLegendKey val="0"/>
          <c:showVal val="0"/>
          <c:showCatName val="0"/>
          <c:showSerName val="0"/>
          <c:showPercent val="0"/>
          <c:showBubbleSize val="0"/>
        </c:dLbls>
        <c:gapWidth val="10"/>
        <c:axId val="2098473304"/>
        <c:axId val="2098470232"/>
      </c:barChart>
      <c:scatterChart>
        <c:scatterStyle val="lineMarker"/>
        <c:varyColors val="0"/>
        <c:ser>
          <c:idx val="1"/>
          <c:order val="1"/>
          <c:tx>
            <c:strRef>
              <c:f>'Jun''15'!$C$2</c:f>
              <c:strCache>
                <c:ptCount val="1"/>
                <c:pt idx="0">
                  <c:v>CH4 (%)</c:v>
                </c:pt>
              </c:strCache>
            </c:strRef>
          </c:tx>
          <c:spPr>
            <a:ln w="47625">
              <a:noFill/>
            </a:ln>
          </c:spPr>
          <c:marker>
            <c:symbol val="square"/>
            <c:size val="9"/>
            <c:spPr>
              <a:solidFill>
                <a:schemeClr val="bg1"/>
              </a:solidFill>
              <a:ln w="19050" cmpd="sng">
                <a:solidFill>
                  <a:srgbClr val="0000FF"/>
                </a:solidFill>
              </a:ln>
            </c:spPr>
          </c:marker>
          <c:xVal>
            <c:numRef>
              <c:f>'Jun''15'!$A$3:$A$32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xVal>
          <c:yVal>
            <c:numRef>
              <c:f>'Jun''15'!$C$3:$C$32</c:f>
              <c:numCache>
                <c:formatCode>0.0</c:formatCode>
                <c:ptCount val="30"/>
                <c:pt idx="0">
                  <c:v>61.4</c:v>
                </c:pt>
                <c:pt idx="1">
                  <c:v>61.1</c:v>
                </c:pt>
                <c:pt idx="3">
                  <c:v>61.3</c:v>
                </c:pt>
                <c:pt idx="4">
                  <c:v>60.6</c:v>
                </c:pt>
                <c:pt idx="5">
                  <c:v>59.7</c:v>
                </c:pt>
                <c:pt idx="8">
                  <c:v>57.5</c:v>
                </c:pt>
                <c:pt idx="9">
                  <c:v>60.3</c:v>
                </c:pt>
                <c:pt idx="10">
                  <c:v>60.8</c:v>
                </c:pt>
                <c:pt idx="11">
                  <c:v>60.5</c:v>
                </c:pt>
                <c:pt idx="12">
                  <c:v>59.8</c:v>
                </c:pt>
                <c:pt idx="13">
                  <c:v>59.5</c:v>
                </c:pt>
                <c:pt idx="14">
                  <c:v>58.9</c:v>
                </c:pt>
                <c:pt idx="15">
                  <c:v>58.4</c:v>
                </c:pt>
                <c:pt idx="16">
                  <c:v>58.0</c:v>
                </c:pt>
                <c:pt idx="17">
                  <c:v>58.3</c:v>
                </c:pt>
                <c:pt idx="18">
                  <c:v>57.7</c:v>
                </c:pt>
                <c:pt idx="19">
                  <c:v>57.8</c:v>
                </c:pt>
                <c:pt idx="20">
                  <c:v>57.2</c:v>
                </c:pt>
                <c:pt idx="21">
                  <c:v>56.6</c:v>
                </c:pt>
                <c:pt idx="22">
                  <c:v>56.0</c:v>
                </c:pt>
                <c:pt idx="23">
                  <c:v>55.5</c:v>
                </c:pt>
                <c:pt idx="24">
                  <c:v>55.9</c:v>
                </c:pt>
                <c:pt idx="25">
                  <c:v>61.1</c:v>
                </c:pt>
                <c:pt idx="26">
                  <c:v>60.5</c:v>
                </c:pt>
                <c:pt idx="27">
                  <c:v>60.2</c:v>
                </c:pt>
                <c:pt idx="28">
                  <c:v>60.9</c:v>
                </c:pt>
                <c:pt idx="29">
                  <c:v>59.5</c:v>
                </c:pt>
              </c:numCache>
            </c:numRef>
          </c:yVal>
          <c:smooth val="0"/>
        </c:ser>
        <c:ser>
          <c:idx val="2"/>
          <c:order val="2"/>
          <c:tx>
            <c:strRef>
              <c:f>'Jun''15'!$D$2</c:f>
              <c:strCache>
                <c:ptCount val="1"/>
                <c:pt idx="0">
                  <c:v>H2S (ppm)</c:v>
                </c:pt>
              </c:strCache>
            </c:strRef>
          </c:tx>
          <c:spPr>
            <a:ln w="47625">
              <a:noFill/>
            </a:ln>
          </c:spPr>
          <c:marker>
            <c:symbol val="plus"/>
            <c:size val="9"/>
            <c:spPr>
              <a:ln>
                <a:solidFill>
                  <a:schemeClr val="tx1"/>
                </a:solidFill>
              </a:ln>
            </c:spPr>
          </c:marker>
          <c:dPt>
            <c:idx val="1"/>
            <c:marker>
              <c:spPr>
                <a:ln w="19050" cmpd="sng">
                  <a:solidFill>
                    <a:schemeClr val="tx1"/>
                  </a:solidFill>
                </a:ln>
              </c:spPr>
            </c:marker>
            <c:bubble3D val="0"/>
          </c:dPt>
          <c:xVal>
            <c:numRef>
              <c:f>'Jun''15'!$A$3:$A$32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xVal>
          <c:yVal>
            <c:numRef>
              <c:f>'Jun''15'!$D$3:$D$32</c:f>
              <c:numCache>
                <c:formatCode>0.0</c:formatCode>
                <c:ptCount val="30"/>
                <c:pt idx="0">
                  <c:v>272.0</c:v>
                </c:pt>
                <c:pt idx="1">
                  <c:v>300.0</c:v>
                </c:pt>
                <c:pt idx="3">
                  <c:v>313.0</c:v>
                </c:pt>
                <c:pt idx="4">
                  <c:v>334.0</c:v>
                </c:pt>
                <c:pt idx="5">
                  <c:v>354.0</c:v>
                </c:pt>
                <c:pt idx="8">
                  <c:v>242.0</c:v>
                </c:pt>
                <c:pt idx="9">
                  <c:v>521.0</c:v>
                </c:pt>
                <c:pt idx="10">
                  <c:v>435.0</c:v>
                </c:pt>
                <c:pt idx="11">
                  <c:v>342.0</c:v>
                </c:pt>
                <c:pt idx="12">
                  <c:v>487.0</c:v>
                </c:pt>
                <c:pt idx="13">
                  <c:v>539.0</c:v>
                </c:pt>
                <c:pt idx="14">
                  <c:v>275.0</c:v>
                </c:pt>
                <c:pt idx="15">
                  <c:v>306.0</c:v>
                </c:pt>
                <c:pt idx="16">
                  <c:v>399.0</c:v>
                </c:pt>
                <c:pt idx="17">
                  <c:v>465.0</c:v>
                </c:pt>
                <c:pt idx="18">
                  <c:v>368.0</c:v>
                </c:pt>
                <c:pt idx="19">
                  <c:v>297.0</c:v>
                </c:pt>
                <c:pt idx="20">
                  <c:v>378.0</c:v>
                </c:pt>
                <c:pt idx="21">
                  <c:v>210.0</c:v>
                </c:pt>
                <c:pt idx="22">
                  <c:v>298.0</c:v>
                </c:pt>
                <c:pt idx="23">
                  <c:v>214.0</c:v>
                </c:pt>
                <c:pt idx="24">
                  <c:v>130.0</c:v>
                </c:pt>
                <c:pt idx="25">
                  <c:v>164.0</c:v>
                </c:pt>
                <c:pt idx="26">
                  <c:v>198.0</c:v>
                </c:pt>
                <c:pt idx="27">
                  <c:v>272.0</c:v>
                </c:pt>
                <c:pt idx="28">
                  <c:v>149.0</c:v>
                </c:pt>
                <c:pt idx="29">
                  <c:v>265.0</c:v>
                </c:pt>
              </c:numCache>
            </c:numRef>
          </c:yVal>
          <c:smooth val="0"/>
        </c:ser>
        <c:dLbls>
          <c:showLegendKey val="0"/>
          <c:showVal val="0"/>
          <c:showCatName val="0"/>
          <c:showSerName val="0"/>
          <c:showPercent val="0"/>
          <c:showBubbleSize val="0"/>
        </c:dLbls>
        <c:axId val="2098458584"/>
        <c:axId val="2098464280"/>
      </c:scatterChart>
      <c:catAx>
        <c:axId val="2098473304"/>
        <c:scaling>
          <c:orientation val="minMax"/>
        </c:scaling>
        <c:delete val="0"/>
        <c:axPos val="b"/>
        <c:numFmt formatCode="0" sourceLinked="1"/>
        <c:majorTickMark val="out"/>
        <c:minorTickMark val="none"/>
        <c:tickLblPos val="nextTo"/>
        <c:crossAx val="2098470232"/>
        <c:crosses val="autoZero"/>
        <c:auto val="1"/>
        <c:lblAlgn val="ctr"/>
        <c:lblOffset val="100"/>
        <c:noMultiLvlLbl val="1"/>
      </c:catAx>
      <c:valAx>
        <c:axId val="2098470232"/>
        <c:scaling>
          <c:orientation val="minMax"/>
          <c:max val="3000.0"/>
        </c:scaling>
        <c:delete val="0"/>
        <c:axPos val="l"/>
        <c:title>
          <c:tx>
            <c:rich>
              <a:bodyPr rot="-5400000" vert="horz"/>
              <a:lstStyle/>
              <a:p>
                <a:pPr>
                  <a:defRPr sz="1200"/>
                </a:pPr>
                <a:r>
                  <a:rPr lang="en-US" sz="1200"/>
                  <a:t>biogas volume</a:t>
                </a:r>
                <a:r>
                  <a:rPr lang="en-US" sz="1200" baseline="0"/>
                  <a:t> (m3/day)</a:t>
                </a:r>
                <a:endParaRPr lang="en-US" sz="1200"/>
              </a:p>
            </c:rich>
          </c:tx>
          <c:layout/>
          <c:overlay val="0"/>
        </c:title>
        <c:numFmt formatCode="#,##0" sourceLinked="1"/>
        <c:majorTickMark val="out"/>
        <c:minorTickMark val="none"/>
        <c:tickLblPos val="nextTo"/>
        <c:txPr>
          <a:bodyPr/>
          <a:lstStyle/>
          <a:p>
            <a:pPr>
              <a:defRPr sz="1200"/>
            </a:pPr>
            <a:endParaRPr lang="en-US"/>
          </a:p>
        </c:txPr>
        <c:crossAx val="2098473304"/>
        <c:crosses val="autoZero"/>
        <c:crossBetween val="between"/>
      </c:valAx>
      <c:valAx>
        <c:axId val="2098464280"/>
        <c:scaling>
          <c:orientation val="minMax"/>
        </c:scaling>
        <c:delete val="0"/>
        <c:axPos val="r"/>
        <c:title>
          <c:tx>
            <c:rich>
              <a:bodyPr rot="-5400000" vert="horz"/>
              <a:lstStyle/>
              <a:p>
                <a:pPr>
                  <a:defRPr sz="1200"/>
                </a:pPr>
                <a:r>
                  <a:rPr lang="en-US" sz="1200"/>
                  <a:t>methane (%), H2S</a:t>
                </a:r>
                <a:r>
                  <a:rPr lang="en-US" sz="1200" baseline="0"/>
                  <a:t> (ppm</a:t>
                </a:r>
                <a:endParaRPr lang="en-US" sz="1200"/>
              </a:p>
            </c:rich>
          </c:tx>
          <c:layout/>
          <c:overlay val="0"/>
        </c:title>
        <c:numFmt formatCode="0.0" sourceLinked="1"/>
        <c:majorTickMark val="out"/>
        <c:minorTickMark val="none"/>
        <c:tickLblPos val="nextTo"/>
        <c:txPr>
          <a:bodyPr/>
          <a:lstStyle/>
          <a:p>
            <a:pPr>
              <a:defRPr sz="1200"/>
            </a:pPr>
            <a:endParaRPr lang="en-US"/>
          </a:p>
        </c:txPr>
        <c:crossAx val="2098458584"/>
        <c:crosses val="max"/>
        <c:crossBetween val="midCat"/>
      </c:valAx>
      <c:valAx>
        <c:axId val="2098458584"/>
        <c:scaling>
          <c:orientation val="minMax"/>
        </c:scaling>
        <c:delete val="1"/>
        <c:axPos val="b"/>
        <c:numFmt formatCode="0" sourceLinked="1"/>
        <c:majorTickMark val="out"/>
        <c:minorTickMark val="none"/>
        <c:tickLblPos val="nextTo"/>
        <c:crossAx val="2098464280"/>
        <c:crosses val="autoZero"/>
        <c:crossBetween val="midCat"/>
      </c:valAx>
      <c:spPr>
        <a:noFill/>
        <a:ln>
          <a:noFill/>
        </a:ln>
      </c:spPr>
    </c:plotArea>
    <c:legend>
      <c:legendPos val="r"/>
      <c:layout>
        <c:manualLayout>
          <c:xMode val="edge"/>
          <c:yMode val="edge"/>
          <c:x val="0.493773247669195"/>
          <c:y val="0.173512943584113"/>
          <c:w val="0.208409062364137"/>
          <c:h val="0.160703780319213"/>
        </c:manualLayout>
      </c:layout>
      <c:overlay val="0"/>
      <c:txPr>
        <a:bodyPr/>
        <a:lstStyle/>
        <a:p>
          <a:pPr>
            <a:defRPr sz="1200"/>
          </a:pPr>
          <a:endParaRPr lang="en-US"/>
        </a:p>
      </c:txPr>
    </c:legend>
    <c:plotVisOnly val="1"/>
    <c:dispBlanksAs val="gap"/>
    <c:showDLblsOverMax val="0"/>
  </c:chart>
  <c:spPr>
    <a:noFill/>
    <a:ln>
      <a:noFill/>
    </a:ln>
  </c:spPr>
  <c:printSettings>
    <c:headerFooter/>
    <c:pageMargins b="1.0" l="0.75" r="0.75" t="1.0"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1"/>
          <c:order val="1"/>
          <c:tx>
            <c:strRef>
              <c:f>'Jun''15'!$G$2</c:f>
              <c:strCache>
                <c:ptCount val="1"/>
                <c:pt idx="0">
                  <c:v>electricity produced (kWh/day)</c:v>
                </c:pt>
              </c:strCache>
            </c:strRef>
          </c:tx>
          <c:spPr>
            <a:ln w="47625">
              <a:noFill/>
            </a:ln>
          </c:spPr>
          <c:invertIfNegative val="0"/>
          <c:cat>
            <c:numRef>
              <c:f>'Jun''15'!$E$3:$E$32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cat>
          <c:val>
            <c:numRef>
              <c:f>'Jun''15'!$G$3:$G$33</c:f>
              <c:numCache>
                <c:formatCode>#,##0</c:formatCode>
                <c:ptCount val="31"/>
                <c:pt idx="0">
                  <c:v>4757.333333333334</c:v>
                </c:pt>
                <c:pt idx="1">
                  <c:v>2987.876288666966</c:v>
                </c:pt>
                <c:pt idx="3">
                  <c:v>2111.0</c:v>
                </c:pt>
                <c:pt idx="4">
                  <c:v>2671.062670305235</c:v>
                </c:pt>
                <c:pt idx="5">
                  <c:v>4193.861247373477</c:v>
                </c:pt>
                <c:pt idx="6">
                  <c:v>3166.040816319009</c:v>
                </c:pt>
                <c:pt idx="7">
                  <c:v>2670.198675500806</c:v>
                </c:pt>
                <c:pt idx="8">
                  <c:v>3351.949685529683</c:v>
                </c:pt>
                <c:pt idx="9">
                  <c:v>2377.674418607302</c:v>
                </c:pt>
                <c:pt idx="10">
                  <c:v>3541.621621610478</c:v>
                </c:pt>
                <c:pt idx="11">
                  <c:v>2956.049382724546</c:v>
                </c:pt>
                <c:pt idx="12">
                  <c:v>3224.533333333333</c:v>
                </c:pt>
                <c:pt idx="13">
                  <c:v>1848.876636796569</c:v>
                </c:pt>
                <c:pt idx="14">
                  <c:v>2926.87160940079</c:v>
                </c:pt>
                <c:pt idx="15">
                  <c:v>2587.215189889621</c:v>
                </c:pt>
                <c:pt idx="16">
                  <c:v>2586.01719197104</c:v>
                </c:pt>
                <c:pt idx="17">
                  <c:v>2872.314876577251</c:v>
                </c:pt>
                <c:pt idx="18">
                  <c:v>2876.043956044416</c:v>
                </c:pt>
                <c:pt idx="19">
                  <c:v>2741.106382985513</c:v>
                </c:pt>
                <c:pt idx="20">
                  <c:v>2776.39603959756</c:v>
                </c:pt>
                <c:pt idx="21">
                  <c:v>2529.391304360628</c:v>
                </c:pt>
                <c:pt idx="22">
                  <c:v>2482.971428561105</c:v>
                </c:pt>
                <c:pt idx="23">
                  <c:v>2514.0</c:v>
                </c:pt>
                <c:pt idx="24">
                  <c:v>2534.0</c:v>
                </c:pt>
                <c:pt idx="25">
                  <c:v>2631.487039561766</c:v>
                </c:pt>
                <c:pt idx="26">
                  <c:v>2638.856364873645</c:v>
                </c:pt>
                <c:pt idx="27">
                  <c:v>2378.322580645161</c:v>
                </c:pt>
                <c:pt idx="28">
                  <c:v>2598.720000006051</c:v>
                </c:pt>
                <c:pt idx="29">
                  <c:v>2116.66424945577</c:v>
                </c:pt>
                <c:pt idx="30" formatCode="General">
                  <c:v>0.0</c:v>
                </c:pt>
              </c:numCache>
            </c:numRef>
          </c:val>
        </c:ser>
        <c:dLbls>
          <c:showLegendKey val="0"/>
          <c:showVal val="0"/>
          <c:showCatName val="0"/>
          <c:showSerName val="0"/>
          <c:showPercent val="0"/>
          <c:showBubbleSize val="0"/>
        </c:dLbls>
        <c:gapWidth val="10"/>
        <c:axId val="2103014920"/>
        <c:axId val="2103020584"/>
      </c:barChart>
      <c:scatterChart>
        <c:scatterStyle val="lineMarker"/>
        <c:varyColors val="0"/>
        <c:ser>
          <c:idx val="0"/>
          <c:order val="0"/>
          <c:tx>
            <c:strRef>
              <c:f>'Jun''15'!$F$2</c:f>
              <c:strCache>
                <c:ptCount val="1"/>
                <c:pt idx="0">
                  <c:v>electricity consumed (kWh/day)</c:v>
                </c:pt>
              </c:strCache>
            </c:strRef>
          </c:tx>
          <c:spPr>
            <a:ln w="47625">
              <a:noFill/>
            </a:ln>
          </c:spPr>
          <c:marker>
            <c:symbol val="circle"/>
            <c:size val="12"/>
            <c:spPr>
              <a:solidFill>
                <a:schemeClr val="bg1"/>
              </a:solidFill>
              <a:ln>
                <a:solidFill>
                  <a:srgbClr val="FF0000"/>
                </a:solidFill>
              </a:ln>
            </c:spPr>
          </c:marker>
          <c:xVal>
            <c:numRef>
              <c:f>'Jun''15'!$E$3:$E$32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xVal>
          <c:yVal>
            <c:numRef>
              <c:f>'Jun''15'!$F$3:$F$32</c:f>
              <c:numCache>
                <c:formatCode>#,##0</c:formatCode>
                <c:ptCount val="30"/>
                <c:pt idx="0">
                  <c:v>505.2121212121212</c:v>
                </c:pt>
                <c:pt idx="1">
                  <c:v>578.9690721663381</c:v>
                </c:pt>
                <c:pt idx="3">
                  <c:v>247.0</c:v>
                </c:pt>
                <c:pt idx="4">
                  <c:v>540.4904632163732</c:v>
                </c:pt>
                <c:pt idx="5">
                  <c:v>559.0469516469939</c:v>
                </c:pt>
                <c:pt idx="6">
                  <c:v>538.7755102028015</c:v>
                </c:pt>
                <c:pt idx="7">
                  <c:v>452.4503311265254</c:v>
                </c:pt>
                <c:pt idx="8">
                  <c:v>608.8050314456493</c:v>
                </c:pt>
                <c:pt idx="9">
                  <c:v>544.6785225724266</c:v>
                </c:pt>
                <c:pt idx="10">
                  <c:v>577.9459459441275</c:v>
                </c:pt>
                <c:pt idx="11">
                  <c:v>574.8148148164671</c:v>
                </c:pt>
                <c:pt idx="12">
                  <c:v>535.4666666666667</c:v>
                </c:pt>
                <c:pt idx="13">
                  <c:v>538.8835285993218</c:v>
                </c:pt>
                <c:pt idx="14">
                  <c:v>618.8788426757898</c:v>
                </c:pt>
                <c:pt idx="15">
                  <c:v>502.4050632942857</c:v>
                </c:pt>
                <c:pt idx="16">
                  <c:v>617.8796561590158</c:v>
                </c:pt>
                <c:pt idx="17">
                  <c:v>652.2748498983122</c:v>
                </c:pt>
                <c:pt idx="18">
                  <c:v>568.6813186814096</c:v>
                </c:pt>
                <c:pt idx="19">
                  <c:v>555.5744680864825</c:v>
                </c:pt>
                <c:pt idx="20">
                  <c:v>410.613861385192</c:v>
                </c:pt>
                <c:pt idx="21">
                  <c:v>367.3043478279461</c:v>
                </c:pt>
                <c:pt idx="22">
                  <c:v>380.5714285698462</c:v>
                </c:pt>
                <c:pt idx="23">
                  <c:v>374.0</c:v>
                </c:pt>
                <c:pt idx="24">
                  <c:v>384.0</c:v>
                </c:pt>
                <c:pt idx="25">
                  <c:v>389.9590723053458</c:v>
                </c:pt>
                <c:pt idx="26">
                  <c:v>385.2416609938124</c:v>
                </c:pt>
                <c:pt idx="27">
                  <c:v>400.516129032258</c:v>
                </c:pt>
                <c:pt idx="28">
                  <c:v>460.8000000010729</c:v>
                </c:pt>
                <c:pt idx="29">
                  <c:v>409.3401015227735</c:v>
                </c:pt>
              </c:numCache>
            </c:numRef>
          </c:yVal>
          <c:smooth val="0"/>
        </c:ser>
        <c:dLbls>
          <c:showLegendKey val="0"/>
          <c:showVal val="0"/>
          <c:showCatName val="0"/>
          <c:showSerName val="0"/>
          <c:showPercent val="0"/>
          <c:showBubbleSize val="0"/>
        </c:dLbls>
        <c:axId val="2103014920"/>
        <c:axId val="2103020584"/>
      </c:scatterChart>
      <c:catAx>
        <c:axId val="2103014920"/>
        <c:scaling>
          <c:orientation val="minMax"/>
        </c:scaling>
        <c:delete val="0"/>
        <c:axPos val="b"/>
        <c:numFmt formatCode="0" sourceLinked="1"/>
        <c:majorTickMark val="out"/>
        <c:minorTickMark val="none"/>
        <c:tickLblPos val="nextTo"/>
        <c:crossAx val="2103020584"/>
        <c:crosses val="autoZero"/>
        <c:auto val="1"/>
        <c:lblAlgn val="ctr"/>
        <c:lblOffset val="100"/>
        <c:noMultiLvlLbl val="1"/>
      </c:catAx>
      <c:valAx>
        <c:axId val="2103020584"/>
        <c:scaling>
          <c:orientation val="minMax"/>
          <c:max val="9000.0"/>
        </c:scaling>
        <c:delete val="0"/>
        <c:axPos val="l"/>
        <c:title>
          <c:tx>
            <c:rich>
              <a:bodyPr rot="-5400000" vert="horz"/>
              <a:lstStyle/>
              <a:p>
                <a:pPr>
                  <a:defRPr sz="1200"/>
                </a:pPr>
                <a:r>
                  <a:rPr lang="en-US" sz="1200"/>
                  <a:t>electricity</a:t>
                </a:r>
                <a:r>
                  <a:rPr lang="en-US" sz="1200" baseline="0"/>
                  <a:t> (kWh/day)</a:t>
                </a:r>
                <a:endParaRPr lang="en-US" sz="1200"/>
              </a:p>
            </c:rich>
          </c:tx>
          <c:overlay val="0"/>
        </c:title>
        <c:numFmt formatCode="#,##0" sourceLinked="1"/>
        <c:majorTickMark val="out"/>
        <c:minorTickMark val="none"/>
        <c:tickLblPos val="nextTo"/>
        <c:txPr>
          <a:bodyPr/>
          <a:lstStyle/>
          <a:p>
            <a:pPr>
              <a:defRPr sz="1200"/>
            </a:pPr>
            <a:endParaRPr lang="en-US"/>
          </a:p>
        </c:txPr>
        <c:crossAx val="2103014920"/>
        <c:crosses val="autoZero"/>
        <c:crossBetween val="between"/>
      </c:valAx>
      <c:spPr>
        <a:noFill/>
        <a:ln>
          <a:noFill/>
        </a:ln>
      </c:spPr>
    </c:plotArea>
    <c:legend>
      <c:legendPos val="r"/>
      <c:layout>
        <c:manualLayout>
          <c:xMode val="edge"/>
          <c:yMode val="edge"/>
          <c:x val="0.542412063356945"/>
          <c:y val="0.281870331321988"/>
          <c:w val="0.161479342109263"/>
          <c:h val="0.181357671733435"/>
        </c:manualLayout>
      </c:layout>
      <c:overlay val="0"/>
      <c:txPr>
        <a:bodyPr/>
        <a:lstStyle/>
        <a:p>
          <a:pPr>
            <a:defRPr sz="1200"/>
          </a:pPr>
          <a:endParaRPr lang="en-US"/>
        </a:p>
      </c:txPr>
    </c:legend>
    <c:plotVisOnly val="1"/>
    <c:dispBlanksAs val="gap"/>
    <c:showDLblsOverMax val="0"/>
  </c:chart>
  <c:spPr>
    <a:noFill/>
    <a:ln>
      <a:noFill/>
    </a:ln>
  </c:spPr>
  <c:printSettings>
    <c:headerFooter/>
    <c:pageMargins b="1.0" l="0.75" r="0.75" t="1.0"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lineMarker"/>
        <c:varyColors val="0"/>
        <c:ser>
          <c:idx val="0"/>
          <c:order val="0"/>
          <c:tx>
            <c:strRef>
              <c:f>'Jun''15'!$L$2</c:f>
              <c:strCache>
                <c:ptCount val="1"/>
                <c:pt idx="0">
                  <c:v>hydroylzer Ripley ratio</c:v>
                </c:pt>
              </c:strCache>
            </c:strRef>
          </c:tx>
          <c:spPr>
            <a:ln w="47625">
              <a:noFill/>
            </a:ln>
          </c:spPr>
          <c:xVal>
            <c:numRef>
              <c:f>'Jun''15'!$K$3:$K$32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xVal>
          <c:yVal>
            <c:numRef>
              <c:f>'Jun''15'!$L$3:$L$32</c:f>
              <c:numCache>
                <c:formatCode>General</c:formatCode>
                <c:ptCount val="30"/>
              </c:numCache>
            </c:numRef>
          </c:yVal>
          <c:smooth val="0"/>
        </c:ser>
        <c:ser>
          <c:idx val="1"/>
          <c:order val="1"/>
          <c:tx>
            <c:strRef>
              <c:f>'Jun''15'!$M$2</c:f>
              <c:strCache>
                <c:ptCount val="1"/>
                <c:pt idx="0">
                  <c:v>AD Ripley ratio</c:v>
                </c:pt>
              </c:strCache>
            </c:strRef>
          </c:tx>
          <c:spPr>
            <a:ln w="47625">
              <a:noFill/>
            </a:ln>
          </c:spPr>
          <c:xVal>
            <c:numRef>
              <c:f>'Jun''15'!$K$3:$K$32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xVal>
          <c:yVal>
            <c:numRef>
              <c:f>'Jun''15'!$M$3:$M$32</c:f>
              <c:numCache>
                <c:formatCode>0</c:formatCode>
                <c:ptCount val="30"/>
                <c:pt idx="3" formatCode="0.00">
                  <c:v>0.856666666666667</c:v>
                </c:pt>
                <c:pt idx="7" formatCode="0.00">
                  <c:v>0.85</c:v>
                </c:pt>
                <c:pt idx="11" formatCode="0.00">
                  <c:v>0.796666666666666</c:v>
                </c:pt>
                <c:pt idx="17" formatCode="0.00">
                  <c:v>0.733333333333333</c:v>
                </c:pt>
                <c:pt idx="25" formatCode="0.00">
                  <c:v>0.763333333333333</c:v>
                </c:pt>
                <c:pt idx="29" formatCode="0.00">
                  <c:v>0.636666666666667</c:v>
                </c:pt>
              </c:numCache>
            </c:numRef>
          </c:yVal>
          <c:smooth val="0"/>
        </c:ser>
        <c:dLbls>
          <c:showLegendKey val="0"/>
          <c:showVal val="0"/>
          <c:showCatName val="0"/>
          <c:showSerName val="0"/>
          <c:showPercent val="0"/>
          <c:showBubbleSize val="0"/>
        </c:dLbls>
        <c:axId val="2107571816"/>
        <c:axId val="2107574840"/>
      </c:scatterChart>
      <c:valAx>
        <c:axId val="2107571816"/>
        <c:scaling>
          <c:orientation val="minMax"/>
          <c:max val="30.0"/>
        </c:scaling>
        <c:delete val="0"/>
        <c:axPos val="b"/>
        <c:numFmt formatCode="0" sourceLinked="1"/>
        <c:majorTickMark val="out"/>
        <c:minorTickMark val="none"/>
        <c:tickLblPos val="nextTo"/>
        <c:crossAx val="2107574840"/>
        <c:crosses val="autoZero"/>
        <c:crossBetween val="midCat"/>
      </c:valAx>
      <c:valAx>
        <c:axId val="2107574840"/>
        <c:scaling>
          <c:orientation val="minMax"/>
        </c:scaling>
        <c:delete val="0"/>
        <c:axPos val="l"/>
        <c:title>
          <c:tx>
            <c:rich>
              <a:bodyPr rot="-5400000" vert="horz"/>
              <a:lstStyle/>
              <a:p>
                <a:pPr>
                  <a:defRPr sz="1200"/>
                </a:pPr>
                <a:r>
                  <a:rPr lang="en-US" sz="1200"/>
                  <a:t>Ripley ratio </a:t>
                </a:r>
              </a:p>
            </c:rich>
          </c:tx>
          <c:overlay val="0"/>
        </c:title>
        <c:numFmt formatCode="General" sourceLinked="1"/>
        <c:majorTickMark val="out"/>
        <c:minorTickMark val="none"/>
        <c:tickLblPos val="nextTo"/>
        <c:txPr>
          <a:bodyPr/>
          <a:lstStyle/>
          <a:p>
            <a:pPr>
              <a:defRPr sz="1200" b="1" i="0"/>
            </a:pPr>
            <a:endParaRPr lang="en-US"/>
          </a:p>
        </c:txPr>
        <c:crossAx val="2107571816"/>
        <c:crosses val="autoZero"/>
        <c:crossBetween val="midCat"/>
      </c:valAx>
      <c:spPr>
        <a:noFill/>
        <a:ln>
          <a:noFill/>
        </a:ln>
      </c:spPr>
    </c:plotArea>
    <c:legend>
      <c:legendPos val="r"/>
      <c:layout>
        <c:manualLayout>
          <c:xMode val="edge"/>
          <c:yMode val="edge"/>
          <c:x val="0.626755389002753"/>
          <c:y val="0.77223936862696"/>
          <c:w val="0.154123885247073"/>
          <c:h val="0.11282550582877"/>
        </c:manualLayout>
      </c:layout>
      <c:overlay val="0"/>
    </c:legend>
    <c:plotVisOnly val="1"/>
    <c:dispBlanksAs val="gap"/>
    <c:showDLblsOverMax val="0"/>
  </c:chart>
  <c:spPr>
    <a:noFill/>
    <a:ln>
      <a:noFill/>
    </a:ln>
  </c:spPr>
  <c:printSettings>
    <c:headerFooter/>
    <c:pageMargins b="1.0" l="0.75" r="0.75" t="1.0"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strRef>
              <c:f>'Jul''15'!$C$2</c:f>
              <c:strCache>
                <c:ptCount val="1"/>
                <c:pt idx="0">
                  <c:v>biogas consumed (m3/day)</c:v>
                </c:pt>
              </c:strCache>
            </c:strRef>
          </c:tx>
          <c:spPr>
            <a:ln w="47625">
              <a:noFill/>
            </a:ln>
          </c:spPr>
          <c:invertIfNegative val="0"/>
          <c:cat>
            <c:numRef>
              <c:f>'Jul''15'!$B$3:$B$32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cat>
          <c:val>
            <c:numRef>
              <c:f>'Jul''15'!$C$3:$C$33</c:f>
              <c:numCache>
                <c:formatCode>#,##0</c:formatCode>
                <c:ptCount val="31"/>
                <c:pt idx="0">
                  <c:v>580.5338809054336</c:v>
                </c:pt>
                <c:pt idx="1">
                  <c:v>1088.044692733361</c:v>
                </c:pt>
                <c:pt idx="2">
                  <c:v>1255.308641978917</c:v>
                </c:pt>
                <c:pt idx="3">
                  <c:v>1168.0</c:v>
                </c:pt>
                <c:pt idx="4">
                  <c:v>1046.643788604552</c:v>
                </c:pt>
                <c:pt idx="5">
                  <c:v>1135.439524126528</c:v>
                </c:pt>
                <c:pt idx="6">
                  <c:v>513.0</c:v>
                </c:pt>
                <c:pt idx="7" formatCode="0">
                  <c:v>940.0</c:v>
                </c:pt>
                <c:pt idx="8" formatCode="0">
                  <c:v>449.3617021254334</c:v>
                </c:pt>
                <c:pt idx="9" formatCode="0">
                  <c:v>936.8435561720685</c:v>
                </c:pt>
                <c:pt idx="10" formatCode="0">
                  <c:v>955.2286282275213</c:v>
                </c:pt>
                <c:pt idx="11" formatCode="0">
                  <c:v>1102.919614149561</c:v>
                </c:pt>
                <c:pt idx="12" formatCode="0">
                  <c:v>1123.555555555556</c:v>
                </c:pt>
                <c:pt idx="13" formatCode="0">
                  <c:v>1009.32</c:v>
                </c:pt>
                <c:pt idx="14" formatCode="0">
                  <c:v>809.3062368608107</c:v>
                </c:pt>
                <c:pt idx="15" formatCode="0">
                  <c:v>717.473684208768</c:v>
                </c:pt>
                <c:pt idx="16" formatCode="0">
                  <c:v>556.9060773501258</c:v>
                </c:pt>
                <c:pt idx="17" formatCode="0">
                  <c:v>778.1121751034666</c:v>
                </c:pt>
                <c:pt idx="18" formatCode="0">
                  <c:v>1061.370629371493</c:v>
                </c:pt>
                <c:pt idx="19" formatCode="0">
                  <c:v>1099.914893611573</c:v>
                </c:pt>
                <c:pt idx="20">
                  <c:v>1090.29</c:v>
                </c:pt>
                <c:pt idx="22">
                  <c:v>995.26</c:v>
                </c:pt>
                <c:pt idx="23">
                  <c:v>937.077690666442</c:v>
                </c:pt>
                <c:pt idx="24">
                  <c:v>1060.587030710824</c:v>
                </c:pt>
                <c:pt idx="25">
                  <c:v>838.8251748258576</c:v>
                </c:pt>
                <c:pt idx="26">
                  <c:v>1022.65263158396</c:v>
                </c:pt>
                <c:pt idx="27">
                  <c:v>1049.377093097538</c:v>
                </c:pt>
                <c:pt idx="28">
                  <c:v>924.4221105510062</c:v>
                </c:pt>
                <c:pt idx="29">
                  <c:v>827.4285714285713</c:v>
                </c:pt>
                <c:pt idx="30">
                  <c:v>880.0</c:v>
                </c:pt>
              </c:numCache>
            </c:numRef>
          </c:val>
        </c:ser>
        <c:dLbls>
          <c:showLegendKey val="0"/>
          <c:showVal val="0"/>
          <c:showCatName val="0"/>
          <c:showSerName val="0"/>
          <c:showPercent val="0"/>
          <c:showBubbleSize val="0"/>
        </c:dLbls>
        <c:gapWidth val="10"/>
        <c:axId val="2098407784"/>
        <c:axId val="2098404712"/>
      </c:barChart>
      <c:scatterChart>
        <c:scatterStyle val="lineMarker"/>
        <c:varyColors val="0"/>
        <c:ser>
          <c:idx val="1"/>
          <c:order val="1"/>
          <c:tx>
            <c:strRef>
              <c:f>'Jul''15'!$D$2</c:f>
              <c:strCache>
                <c:ptCount val="1"/>
                <c:pt idx="0">
                  <c:v>CH4 (%)</c:v>
                </c:pt>
              </c:strCache>
            </c:strRef>
          </c:tx>
          <c:spPr>
            <a:ln w="47625">
              <a:noFill/>
            </a:ln>
          </c:spPr>
          <c:marker>
            <c:symbol val="square"/>
            <c:size val="9"/>
            <c:spPr>
              <a:solidFill>
                <a:schemeClr val="bg1"/>
              </a:solidFill>
              <a:ln w="19050" cmpd="sng">
                <a:solidFill>
                  <a:srgbClr val="0000FF"/>
                </a:solidFill>
              </a:ln>
            </c:spPr>
          </c:marker>
          <c:xVal>
            <c:numRef>
              <c:f>'Jul''15'!$B$3:$B$32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xVal>
          <c:yVal>
            <c:numRef>
              <c:f>'Jul''15'!$D$3:$D$33</c:f>
              <c:numCache>
                <c:formatCode>0.0</c:formatCode>
                <c:ptCount val="31"/>
                <c:pt idx="0">
                  <c:v>58.5</c:v>
                </c:pt>
                <c:pt idx="1">
                  <c:v>58.3</c:v>
                </c:pt>
                <c:pt idx="2">
                  <c:v>59.5</c:v>
                </c:pt>
                <c:pt idx="3">
                  <c:v>60.5</c:v>
                </c:pt>
                <c:pt idx="4">
                  <c:v>60.0</c:v>
                </c:pt>
                <c:pt idx="5">
                  <c:v>59.3</c:v>
                </c:pt>
                <c:pt idx="6">
                  <c:v>57.6</c:v>
                </c:pt>
                <c:pt idx="7">
                  <c:v>57.7</c:v>
                </c:pt>
                <c:pt idx="8">
                  <c:v>56.2</c:v>
                </c:pt>
                <c:pt idx="9" formatCode="General">
                  <c:v>57.7</c:v>
                </c:pt>
                <c:pt idx="11" formatCode="General">
                  <c:v>58.9</c:v>
                </c:pt>
                <c:pt idx="12" formatCode="General">
                  <c:v>59.1</c:v>
                </c:pt>
                <c:pt idx="13">
                  <c:v>63.4</c:v>
                </c:pt>
                <c:pt idx="14">
                  <c:v>63.7</c:v>
                </c:pt>
                <c:pt idx="15" formatCode="General">
                  <c:v>62.9</c:v>
                </c:pt>
                <c:pt idx="16" formatCode="General">
                  <c:v>62.4</c:v>
                </c:pt>
                <c:pt idx="17" formatCode="General">
                  <c:v>61.4</c:v>
                </c:pt>
                <c:pt idx="18" formatCode="General">
                  <c:v>60.2</c:v>
                </c:pt>
                <c:pt idx="19" formatCode="General">
                  <c:v>60.2</c:v>
                </c:pt>
                <c:pt idx="20">
                  <c:v>61.5</c:v>
                </c:pt>
                <c:pt idx="22">
                  <c:v>60.5</c:v>
                </c:pt>
                <c:pt idx="23" formatCode="General">
                  <c:v>60.3</c:v>
                </c:pt>
                <c:pt idx="24" formatCode="General">
                  <c:v>59.8</c:v>
                </c:pt>
                <c:pt idx="25" formatCode="General">
                  <c:v>60.4</c:v>
                </c:pt>
                <c:pt idx="26" formatCode="General">
                  <c:v>59.8</c:v>
                </c:pt>
                <c:pt idx="27" formatCode="General">
                  <c:v>58.8</c:v>
                </c:pt>
                <c:pt idx="28" formatCode="General">
                  <c:v>59.6</c:v>
                </c:pt>
                <c:pt idx="29" formatCode="General">
                  <c:v>58.9</c:v>
                </c:pt>
                <c:pt idx="30" formatCode="General">
                  <c:v>58.5</c:v>
                </c:pt>
              </c:numCache>
            </c:numRef>
          </c:yVal>
          <c:smooth val="0"/>
        </c:ser>
        <c:ser>
          <c:idx val="2"/>
          <c:order val="2"/>
          <c:tx>
            <c:strRef>
              <c:f>'Jul''15'!$E$2</c:f>
              <c:strCache>
                <c:ptCount val="1"/>
                <c:pt idx="0">
                  <c:v>H2S (ppm)</c:v>
                </c:pt>
              </c:strCache>
            </c:strRef>
          </c:tx>
          <c:spPr>
            <a:ln w="47625">
              <a:noFill/>
            </a:ln>
          </c:spPr>
          <c:marker>
            <c:symbol val="plus"/>
            <c:size val="9"/>
            <c:spPr>
              <a:ln>
                <a:solidFill>
                  <a:schemeClr val="tx1"/>
                </a:solidFill>
              </a:ln>
            </c:spPr>
          </c:marker>
          <c:dPt>
            <c:idx val="1"/>
            <c:marker>
              <c:spPr>
                <a:ln w="19050" cmpd="sng">
                  <a:solidFill>
                    <a:schemeClr val="tx1"/>
                  </a:solidFill>
                </a:ln>
              </c:spPr>
            </c:marker>
            <c:bubble3D val="0"/>
          </c:dPt>
          <c:xVal>
            <c:numRef>
              <c:f>'Jul''15'!$B$3:$B$32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xVal>
          <c:yVal>
            <c:numRef>
              <c:f>'Jul''15'!$E$3:$E$33</c:f>
              <c:numCache>
                <c:formatCode>0.0</c:formatCode>
                <c:ptCount val="31"/>
                <c:pt idx="0">
                  <c:v>161.0</c:v>
                </c:pt>
                <c:pt idx="1">
                  <c:v>146.0</c:v>
                </c:pt>
                <c:pt idx="2">
                  <c:v>165.0</c:v>
                </c:pt>
                <c:pt idx="3">
                  <c:v>243.0</c:v>
                </c:pt>
                <c:pt idx="4">
                  <c:v>248.0</c:v>
                </c:pt>
                <c:pt idx="5">
                  <c:v>299.0</c:v>
                </c:pt>
                <c:pt idx="6">
                  <c:v>347.0</c:v>
                </c:pt>
                <c:pt idx="7">
                  <c:v>321.0</c:v>
                </c:pt>
                <c:pt idx="8">
                  <c:v>265.0</c:v>
                </c:pt>
                <c:pt idx="9">
                  <c:v>288.0</c:v>
                </c:pt>
                <c:pt idx="11">
                  <c:v>335.0</c:v>
                </c:pt>
                <c:pt idx="12">
                  <c:v>338.0</c:v>
                </c:pt>
                <c:pt idx="13">
                  <c:v>197.0</c:v>
                </c:pt>
                <c:pt idx="14">
                  <c:v>154.0</c:v>
                </c:pt>
                <c:pt idx="15" formatCode="General">
                  <c:v>244.0</c:v>
                </c:pt>
                <c:pt idx="16" formatCode="General">
                  <c:v>169.0</c:v>
                </c:pt>
                <c:pt idx="17" formatCode="General">
                  <c:v>195.0</c:v>
                </c:pt>
                <c:pt idx="18" formatCode="General">
                  <c:v>187.0</c:v>
                </c:pt>
                <c:pt idx="19" formatCode="General">
                  <c:v>203.0</c:v>
                </c:pt>
                <c:pt idx="20">
                  <c:v>91.0</c:v>
                </c:pt>
                <c:pt idx="22">
                  <c:v>61.0</c:v>
                </c:pt>
                <c:pt idx="23" formatCode="General">
                  <c:v>105.0</c:v>
                </c:pt>
                <c:pt idx="24" formatCode="General">
                  <c:v>57.0</c:v>
                </c:pt>
                <c:pt idx="25" formatCode="General">
                  <c:v>20.0</c:v>
                </c:pt>
                <c:pt idx="26" formatCode="General">
                  <c:v>71.0</c:v>
                </c:pt>
                <c:pt idx="27" formatCode="General">
                  <c:v>46.0</c:v>
                </c:pt>
                <c:pt idx="28" formatCode="General">
                  <c:v>79.0</c:v>
                </c:pt>
                <c:pt idx="29" formatCode="General">
                  <c:v>98.0</c:v>
                </c:pt>
                <c:pt idx="30" formatCode="General">
                  <c:v>60.0</c:v>
                </c:pt>
              </c:numCache>
            </c:numRef>
          </c:yVal>
          <c:smooth val="0"/>
        </c:ser>
        <c:dLbls>
          <c:showLegendKey val="0"/>
          <c:showVal val="0"/>
          <c:showCatName val="0"/>
          <c:showSerName val="0"/>
          <c:showPercent val="0"/>
          <c:showBubbleSize val="0"/>
        </c:dLbls>
        <c:axId val="2098393064"/>
        <c:axId val="2098398760"/>
      </c:scatterChart>
      <c:catAx>
        <c:axId val="2098407784"/>
        <c:scaling>
          <c:orientation val="minMax"/>
        </c:scaling>
        <c:delete val="0"/>
        <c:axPos val="b"/>
        <c:numFmt formatCode="0" sourceLinked="1"/>
        <c:majorTickMark val="out"/>
        <c:minorTickMark val="none"/>
        <c:tickLblPos val="nextTo"/>
        <c:crossAx val="2098404712"/>
        <c:crosses val="autoZero"/>
        <c:auto val="1"/>
        <c:lblAlgn val="ctr"/>
        <c:lblOffset val="100"/>
        <c:noMultiLvlLbl val="1"/>
      </c:catAx>
      <c:valAx>
        <c:axId val="2098404712"/>
        <c:scaling>
          <c:orientation val="minMax"/>
          <c:max val="3000.0"/>
        </c:scaling>
        <c:delete val="0"/>
        <c:axPos val="l"/>
        <c:title>
          <c:tx>
            <c:rich>
              <a:bodyPr rot="-5400000" vert="horz"/>
              <a:lstStyle/>
              <a:p>
                <a:pPr>
                  <a:defRPr sz="1200"/>
                </a:pPr>
                <a:r>
                  <a:rPr lang="en-US" sz="1200"/>
                  <a:t>biogas volume</a:t>
                </a:r>
                <a:r>
                  <a:rPr lang="en-US" sz="1200" baseline="0"/>
                  <a:t> (m3/day)</a:t>
                </a:r>
                <a:endParaRPr lang="en-US" sz="1200"/>
              </a:p>
            </c:rich>
          </c:tx>
          <c:layout/>
          <c:overlay val="0"/>
        </c:title>
        <c:numFmt formatCode="#,##0" sourceLinked="1"/>
        <c:majorTickMark val="out"/>
        <c:minorTickMark val="none"/>
        <c:tickLblPos val="nextTo"/>
        <c:txPr>
          <a:bodyPr/>
          <a:lstStyle/>
          <a:p>
            <a:pPr>
              <a:defRPr sz="1200"/>
            </a:pPr>
            <a:endParaRPr lang="en-US"/>
          </a:p>
        </c:txPr>
        <c:crossAx val="2098407784"/>
        <c:crosses val="autoZero"/>
        <c:crossBetween val="between"/>
      </c:valAx>
      <c:valAx>
        <c:axId val="2098398760"/>
        <c:scaling>
          <c:orientation val="minMax"/>
          <c:max val="600.0"/>
        </c:scaling>
        <c:delete val="0"/>
        <c:axPos val="r"/>
        <c:title>
          <c:tx>
            <c:rich>
              <a:bodyPr rot="-5400000" vert="horz"/>
              <a:lstStyle/>
              <a:p>
                <a:pPr>
                  <a:defRPr sz="1200"/>
                </a:pPr>
                <a:r>
                  <a:rPr lang="en-US" sz="1200"/>
                  <a:t>methane (%), H2S</a:t>
                </a:r>
                <a:r>
                  <a:rPr lang="en-US" sz="1200" baseline="0"/>
                  <a:t> (ppm</a:t>
                </a:r>
                <a:endParaRPr lang="en-US" sz="1200"/>
              </a:p>
            </c:rich>
          </c:tx>
          <c:layout/>
          <c:overlay val="0"/>
        </c:title>
        <c:numFmt formatCode="0.0" sourceLinked="1"/>
        <c:majorTickMark val="out"/>
        <c:minorTickMark val="none"/>
        <c:tickLblPos val="nextTo"/>
        <c:txPr>
          <a:bodyPr/>
          <a:lstStyle/>
          <a:p>
            <a:pPr>
              <a:defRPr sz="1200"/>
            </a:pPr>
            <a:endParaRPr lang="en-US"/>
          </a:p>
        </c:txPr>
        <c:crossAx val="2098393064"/>
        <c:crosses val="max"/>
        <c:crossBetween val="midCat"/>
      </c:valAx>
      <c:valAx>
        <c:axId val="2098393064"/>
        <c:scaling>
          <c:orientation val="minMax"/>
        </c:scaling>
        <c:delete val="1"/>
        <c:axPos val="b"/>
        <c:numFmt formatCode="0" sourceLinked="1"/>
        <c:majorTickMark val="out"/>
        <c:minorTickMark val="none"/>
        <c:tickLblPos val="nextTo"/>
        <c:crossAx val="2098398760"/>
        <c:crosses val="autoZero"/>
        <c:crossBetween val="midCat"/>
      </c:valAx>
      <c:spPr>
        <a:noFill/>
        <a:ln>
          <a:noFill/>
        </a:ln>
      </c:spPr>
    </c:plotArea>
    <c:legend>
      <c:legendPos val="r"/>
      <c:layout>
        <c:manualLayout>
          <c:xMode val="edge"/>
          <c:yMode val="edge"/>
          <c:x val="0.789478769141587"/>
          <c:y val="0.366370303378669"/>
          <c:w val="0.208409062364137"/>
          <c:h val="0.160703780319213"/>
        </c:manualLayout>
      </c:layout>
      <c:overlay val="0"/>
      <c:txPr>
        <a:bodyPr/>
        <a:lstStyle/>
        <a:p>
          <a:pPr>
            <a:defRPr sz="1200"/>
          </a:pPr>
          <a:endParaRPr lang="en-US"/>
        </a:p>
      </c:txPr>
    </c:legend>
    <c:plotVisOnly val="1"/>
    <c:dispBlanksAs val="gap"/>
    <c:showDLblsOverMax val="0"/>
  </c:chart>
  <c:spPr>
    <a:noFill/>
    <a:ln>
      <a:noFill/>
    </a:ln>
  </c:spPr>
  <c:printSettings>
    <c:headerFooter/>
    <c:pageMargins b="1.0" l="0.75" r="0.75" t="1.0"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1"/>
          <c:order val="1"/>
          <c:tx>
            <c:strRef>
              <c:f>'Jul''15'!$H$2</c:f>
              <c:strCache>
                <c:ptCount val="1"/>
                <c:pt idx="0">
                  <c:v>electricity produced (kWh/day)</c:v>
                </c:pt>
              </c:strCache>
            </c:strRef>
          </c:tx>
          <c:spPr>
            <a:ln w="47625">
              <a:noFill/>
            </a:ln>
          </c:spPr>
          <c:invertIfNegative val="0"/>
          <c:cat>
            <c:numRef>
              <c:f>'Jul''15'!$F$3:$F$32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cat>
          <c:val>
            <c:numRef>
              <c:f>'Jul''15'!$H$3:$H$33</c:f>
              <c:numCache>
                <c:formatCode>#,##0</c:formatCode>
                <c:ptCount val="31"/>
                <c:pt idx="0">
                  <c:v>1244.84599589739</c:v>
                </c:pt>
                <c:pt idx="1">
                  <c:v>2339.99999999125</c:v>
                </c:pt>
                <c:pt idx="2">
                  <c:v>2711.111111118904</c:v>
                </c:pt>
                <c:pt idx="3">
                  <c:v>2422.4</c:v>
                </c:pt>
                <c:pt idx="4">
                  <c:v>2221.77076183478</c:v>
                </c:pt>
                <c:pt idx="5">
                  <c:v>2422.207534704119</c:v>
                </c:pt>
                <c:pt idx="6">
                  <c:v>1096.0</c:v>
                </c:pt>
                <c:pt idx="7" formatCode="0">
                  <c:v>1965.0</c:v>
                </c:pt>
                <c:pt idx="8" formatCode="0">
                  <c:v>924.2553191443576</c:v>
                </c:pt>
                <c:pt idx="9" formatCode="0">
                  <c:v>1972.929014481009</c:v>
                </c:pt>
                <c:pt idx="10" formatCode="0">
                  <c:v>2067.912524844194</c:v>
                </c:pt>
                <c:pt idx="11" formatCode="0">
                  <c:v>2378.083601289734</c:v>
                </c:pt>
                <c:pt idx="12" formatCode="0">
                  <c:v>2403.555555555555</c:v>
                </c:pt>
                <c:pt idx="13">
                  <c:v>2801.0</c:v>
                </c:pt>
                <c:pt idx="14">
                  <c:v>2956.0</c:v>
                </c:pt>
                <c:pt idx="15">
                  <c:v>2723.368421045957</c:v>
                </c:pt>
                <c:pt idx="16">
                  <c:v>2057.56906078109</c:v>
                </c:pt>
                <c:pt idx="17">
                  <c:v>2544.13132695222</c:v>
                </c:pt>
                <c:pt idx="18">
                  <c:v>2367.440559442487</c:v>
                </c:pt>
                <c:pt idx="19">
                  <c:v>2417.361702115684</c:v>
                </c:pt>
                <c:pt idx="20">
                  <c:v>2451.0</c:v>
                </c:pt>
                <c:pt idx="22">
                  <c:v>2138.0</c:v>
                </c:pt>
                <c:pt idx="23">
                  <c:v>2017.847469715471</c:v>
                </c:pt>
                <c:pt idx="24">
                  <c:v>2296.136518758559</c:v>
                </c:pt>
                <c:pt idx="25">
                  <c:v>1806.545454546925</c:v>
                </c:pt>
                <c:pt idx="26">
                  <c:v>2186.77894737914</c:v>
                </c:pt>
                <c:pt idx="27">
                  <c:v>2241.500334888492</c:v>
                </c:pt>
                <c:pt idx="28">
                  <c:v>1978.190954770108</c:v>
                </c:pt>
                <c:pt idx="29">
                  <c:v>1765.714285714286</c:v>
                </c:pt>
                <c:pt idx="30">
                  <c:v>1881.0</c:v>
                </c:pt>
              </c:numCache>
            </c:numRef>
          </c:val>
        </c:ser>
        <c:dLbls>
          <c:showLegendKey val="0"/>
          <c:showVal val="0"/>
          <c:showCatName val="0"/>
          <c:showSerName val="0"/>
          <c:showPercent val="0"/>
          <c:showBubbleSize val="0"/>
        </c:dLbls>
        <c:gapWidth val="10"/>
        <c:axId val="2098363432"/>
        <c:axId val="2098360808"/>
      </c:barChart>
      <c:scatterChart>
        <c:scatterStyle val="lineMarker"/>
        <c:varyColors val="0"/>
        <c:ser>
          <c:idx val="0"/>
          <c:order val="0"/>
          <c:tx>
            <c:strRef>
              <c:f>'Jul''15'!$G$2</c:f>
              <c:strCache>
                <c:ptCount val="1"/>
                <c:pt idx="0">
                  <c:v>electricity consumed (kWh/day)</c:v>
                </c:pt>
              </c:strCache>
            </c:strRef>
          </c:tx>
          <c:spPr>
            <a:ln w="47625">
              <a:noFill/>
            </a:ln>
          </c:spPr>
          <c:marker>
            <c:symbol val="circle"/>
            <c:size val="12"/>
            <c:spPr>
              <a:solidFill>
                <a:schemeClr val="bg1"/>
              </a:solidFill>
              <a:ln>
                <a:solidFill>
                  <a:srgbClr val="FF0000"/>
                </a:solidFill>
              </a:ln>
            </c:spPr>
          </c:marker>
          <c:xVal>
            <c:numRef>
              <c:f>'Jul''15'!$F$3:$F$32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xVal>
          <c:yVal>
            <c:numRef>
              <c:f>'Jul''15'!$G$3:$G$32</c:f>
              <c:numCache>
                <c:formatCode>#,##0</c:formatCode>
                <c:ptCount val="30"/>
                <c:pt idx="0">
                  <c:v>451.4168377838516</c:v>
                </c:pt>
                <c:pt idx="1">
                  <c:v>418.3240223448043</c:v>
                </c:pt>
                <c:pt idx="2">
                  <c:v>409.8765432110548</c:v>
                </c:pt>
                <c:pt idx="3">
                  <c:v>436.2666666666666</c:v>
                </c:pt>
                <c:pt idx="4">
                  <c:v>418.0645161281638</c:v>
                </c:pt>
                <c:pt idx="5">
                  <c:v>408.3013879717355</c:v>
                </c:pt>
                <c:pt idx="6">
                  <c:v>401.0</c:v>
                </c:pt>
                <c:pt idx="7" formatCode="0">
                  <c:v>464.0</c:v>
                </c:pt>
                <c:pt idx="8" formatCode="0">
                  <c:v>460.5957446785693</c:v>
                </c:pt>
                <c:pt idx="9" formatCode="0">
                  <c:v>483.3080634065649</c:v>
                </c:pt>
                <c:pt idx="10" formatCode="0">
                  <c:v>581.1530815090513</c:v>
                </c:pt>
                <c:pt idx="11" formatCode="0">
                  <c:v>490.8038585216352</c:v>
                </c:pt>
                <c:pt idx="12" formatCode="0">
                  <c:v>354.3703703703704</c:v>
                </c:pt>
                <c:pt idx="13">
                  <c:v>499.9</c:v>
                </c:pt>
                <c:pt idx="14">
                  <c:v>500.5</c:v>
                </c:pt>
                <c:pt idx="15">
                  <c:v>512.3368421040075</c:v>
                </c:pt>
                <c:pt idx="16">
                  <c:v>401.7679558025908</c:v>
                </c:pt>
                <c:pt idx="17">
                  <c:v>528.9192886462803</c:v>
                </c:pt>
                <c:pt idx="18">
                  <c:v>408.8391608394936</c:v>
                </c:pt>
                <c:pt idx="19">
                  <c:v>424.8510638276825</c:v>
                </c:pt>
                <c:pt idx="20" formatCode="0.00">
                  <c:v>553.5</c:v>
                </c:pt>
                <c:pt idx="22">
                  <c:v>451.0</c:v>
                </c:pt>
                <c:pt idx="23">
                  <c:v>426.9707769082584</c:v>
                </c:pt>
                <c:pt idx="24">
                  <c:v>657.5836177437824</c:v>
                </c:pt>
                <c:pt idx="25">
                  <c:v>637.4265734270923</c:v>
                </c:pt>
                <c:pt idx="26">
                  <c:v>680.0842105296493</c:v>
                </c:pt>
                <c:pt idx="27">
                  <c:v>661.6476892140729</c:v>
                </c:pt>
                <c:pt idx="28">
                  <c:v>629.5477386922704</c:v>
                </c:pt>
                <c:pt idx="29">
                  <c:v>561.1428571428571</c:v>
                </c:pt>
              </c:numCache>
            </c:numRef>
          </c:yVal>
          <c:smooth val="0"/>
        </c:ser>
        <c:dLbls>
          <c:showLegendKey val="0"/>
          <c:showVal val="0"/>
          <c:showCatName val="0"/>
          <c:showSerName val="0"/>
          <c:showPercent val="0"/>
          <c:showBubbleSize val="0"/>
        </c:dLbls>
        <c:axId val="2098363432"/>
        <c:axId val="2098360808"/>
      </c:scatterChart>
      <c:catAx>
        <c:axId val="2098363432"/>
        <c:scaling>
          <c:orientation val="minMax"/>
        </c:scaling>
        <c:delete val="0"/>
        <c:axPos val="b"/>
        <c:numFmt formatCode="0" sourceLinked="1"/>
        <c:majorTickMark val="out"/>
        <c:minorTickMark val="none"/>
        <c:tickLblPos val="nextTo"/>
        <c:crossAx val="2098360808"/>
        <c:crosses val="autoZero"/>
        <c:auto val="1"/>
        <c:lblAlgn val="ctr"/>
        <c:lblOffset val="100"/>
        <c:noMultiLvlLbl val="1"/>
      </c:catAx>
      <c:valAx>
        <c:axId val="2098360808"/>
        <c:scaling>
          <c:orientation val="minMax"/>
          <c:max val="9000.0"/>
        </c:scaling>
        <c:delete val="0"/>
        <c:axPos val="l"/>
        <c:title>
          <c:tx>
            <c:rich>
              <a:bodyPr rot="-5400000" vert="horz"/>
              <a:lstStyle/>
              <a:p>
                <a:pPr>
                  <a:defRPr sz="1200"/>
                </a:pPr>
                <a:r>
                  <a:rPr lang="en-US" sz="1200"/>
                  <a:t>electricity</a:t>
                </a:r>
                <a:r>
                  <a:rPr lang="en-US" sz="1200" baseline="0"/>
                  <a:t> (kWh/day)</a:t>
                </a:r>
                <a:endParaRPr lang="en-US" sz="1200"/>
              </a:p>
            </c:rich>
          </c:tx>
          <c:overlay val="0"/>
        </c:title>
        <c:numFmt formatCode="#,##0" sourceLinked="1"/>
        <c:majorTickMark val="out"/>
        <c:minorTickMark val="none"/>
        <c:tickLblPos val="nextTo"/>
        <c:txPr>
          <a:bodyPr/>
          <a:lstStyle/>
          <a:p>
            <a:pPr>
              <a:defRPr sz="1200"/>
            </a:pPr>
            <a:endParaRPr lang="en-US"/>
          </a:p>
        </c:txPr>
        <c:crossAx val="2098363432"/>
        <c:crosses val="autoZero"/>
        <c:crossBetween val="between"/>
      </c:valAx>
      <c:spPr>
        <a:noFill/>
        <a:ln>
          <a:noFill/>
        </a:ln>
      </c:spPr>
    </c:plotArea>
    <c:legend>
      <c:legendPos val="r"/>
      <c:layout>
        <c:manualLayout>
          <c:xMode val="edge"/>
          <c:yMode val="edge"/>
          <c:x val="0.76506328227396"/>
          <c:y val="0.362752590606079"/>
          <c:w val="0.156331336961258"/>
          <c:h val="0.181357671733435"/>
        </c:manualLayout>
      </c:layout>
      <c:overlay val="0"/>
      <c:txPr>
        <a:bodyPr/>
        <a:lstStyle/>
        <a:p>
          <a:pPr>
            <a:defRPr sz="1200"/>
          </a:pPr>
          <a:endParaRPr lang="en-US"/>
        </a:p>
      </c:txPr>
    </c:legend>
    <c:plotVisOnly val="1"/>
    <c:dispBlanksAs val="gap"/>
    <c:showDLblsOverMax val="0"/>
  </c:chart>
  <c:spPr>
    <a:noFill/>
    <a:ln>
      <a:noFill/>
    </a:ln>
  </c:spPr>
  <c:printSettings>
    <c:headerFooter/>
    <c:pageMargins b="1.0" l="0.75" r="0.75" t="1.0"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lineMarker"/>
        <c:varyColors val="0"/>
        <c:ser>
          <c:idx val="0"/>
          <c:order val="0"/>
          <c:tx>
            <c:strRef>
              <c:f>'Jul''15'!$M$2</c:f>
              <c:strCache>
                <c:ptCount val="1"/>
                <c:pt idx="0">
                  <c:v>hydroylzer Ripley ratio</c:v>
                </c:pt>
              </c:strCache>
            </c:strRef>
          </c:tx>
          <c:spPr>
            <a:ln w="47625">
              <a:noFill/>
            </a:ln>
          </c:spPr>
          <c:xVal>
            <c:numRef>
              <c:f>'Jul''15'!$L$3:$L$32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xVal>
          <c:yVal>
            <c:numRef>
              <c:f>'Jul''15'!$M$3:$M$32</c:f>
              <c:numCache>
                <c:formatCode>General</c:formatCode>
                <c:ptCount val="30"/>
              </c:numCache>
            </c:numRef>
          </c:yVal>
          <c:smooth val="0"/>
        </c:ser>
        <c:ser>
          <c:idx val="1"/>
          <c:order val="1"/>
          <c:tx>
            <c:strRef>
              <c:f>'Jul''15'!$N$2</c:f>
              <c:strCache>
                <c:ptCount val="1"/>
                <c:pt idx="0">
                  <c:v>AD Ripley ratio</c:v>
                </c:pt>
              </c:strCache>
            </c:strRef>
          </c:tx>
          <c:spPr>
            <a:ln w="47625">
              <a:noFill/>
            </a:ln>
          </c:spPr>
          <c:xVal>
            <c:numRef>
              <c:f>'Jul''15'!$L$3:$L$32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xVal>
          <c:yVal>
            <c:numRef>
              <c:f>'Jul''15'!$N$3:$N$32</c:f>
              <c:numCache>
                <c:formatCode>0.00</c:formatCode>
                <c:ptCount val="30"/>
                <c:pt idx="1">
                  <c:v>0.773333333333333</c:v>
                </c:pt>
                <c:pt idx="6" formatCode="General">
                  <c:v>0.78</c:v>
                </c:pt>
                <c:pt idx="8" formatCode="General">
                  <c:v>0.85</c:v>
                </c:pt>
                <c:pt idx="13">
                  <c:v>0.623333333333333</c:v>
                </c:pt>
                <c:pt idx="20">
                  <c:v>0.4775</c:v>
                </c:pt>
                <c:pt idx="23">
                  <c:v>0.423333333333333</c:v>
                </c:pt>
                <c:pt idx="27" formatCode="General">
                  <c:v>0.45</c:v>
                </c:pt>
                <c:pt idx="29" formatCode="General">
                  <c:v>0.46</c:v>
                </c:pt>
              </c:numCache>
            </c:numRef>
          </c:yVal>
          <c:smooth val="0"/>
        </c:ser>
        <c:dLbls>
          <c:showLegendKey val="0"/>
          <c:showVal val="0"/>
          <c:showCatName val="0"/>
          <c:showSerName val="0"/>
          <c:showPercent val="0"/>
          <c:showBubbleSize val="0"/>
        </c:dLbls>
        <c:axId val="2098328056"/>
        <c:axId val="2098324984"/>
      </c:scatterChart>
      <c:valAx>
        <c:axId val="2098328056"/>
        <c:scaling>
          <c:orientation val="minMax"/>
          <c:max val="30.0"/>
        </c:scaling>
        <c:delete val="0"/>
        <c:axPos val="b"/>
        <c:numFmt formatCode="0" sourceLinked="1"/>
        <c:majorTickMark val="out"/>
        <c:minorTickMark val="none"/>
        <c:tickLblPos val="nextTo"/>
        <c:crossAx val="2098324984"/>
        <c:crosses val="autoZero"/>
        <c:crossBetween val="midCat"/>
      </c:valAx>
      <c:valAx>
        <c:axId val="2098324984"/>
        <c:scaling>
          <c:orientation val="minMax"/>
          <c:min val="0.0"/>
        </c:scaling>
        <c:delete val="0"/>
        <c:axPos val="l"/>
        <c:title>
          <c:tx>
            <c:rich>
              <a:bodyPr rot="-5400000" vert="horz"/>
              <a:lstStyle/>
              <a:p>
                <a:pPr>
                  <a:defRPr sz="1200"/>
                </a:pPr>
                <a:r>
                  <a:rPr lang="en-US" sz="1200"/>
                  <a:t>Ripley ratio </a:t>
                </a:r>
              </a:p>
            </c:rich>
          </c:tx>
          <c:overlay val="0"/>
        </c:title>
        <c:numFmt formatCode="General" sourceLinked="1"/>
        <c:majorTickMark val="out"/>
        <c:minorTickMark val="none"/>
        <c:tickLblPos val="nextTo"/>
        <c:txPr>
          <a:bodyPr/>
          <a:lstStyle/>
          <a:p>
            <a:pPr>
              <a:defRPr sz="1200" b="1" i="0"/>
            </a:pPr>
            <a:endParaRPr lang="en-US"/>
          </a:p>
        </c:txPr>
        <c:crossAx val="2098328056"/>
        <c:crosses val="autoZero"/>
        <c:crossBetween val="midCat"/>
      </c:valAx>
      <c:spPr>
        <a:noFill/>
        <a:ln>
          <a:noFill/>
        </a:ln>
      </c:spPr>
    </c:plotArea>
    <c:legend>
      <c:legendPos val="r"/>
      <c:overlay val="0"/>
    </c:legend>
    <c:plotVisOnly val="1"/>
    <c:dispBlanksAs val="gap"/>
    <c:showDLblsOverMax val="0"/>
  </c:chart>
  <c:spPr>
    <a:noFill/>
    <a:ln>
      <a:noFill/>
    </a:ln>
  </c:spPr>
  <c:printSettings>
    <c:headerFooter/>
    <c:pageMargins b="1.0" l="0.75" r="0.75" t="1.0"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lineMarker"/>
        <c:varyColors val="0"/>
        <c:ser>
          <c:idx val="0"/>
          <c:order val="0"/>
          <c:tx>
            <c:strRef>
              <c:f>'Jul''15'!$J$2</c:f>
              <c:strCache>
                <c:ptCount val="1"/>
                <c:pt idx="0">
                  <c:v>Hydrolyzer pH</c:v>
                </c:pt>
              </c:strCache>
            </c:strRef>
          </c:tx>
          <c:spPr>
            <a:ln w="47625">
              <a:noFill/>
            </a:ln>
          </c:spPr>
          <c:marker>
            <c:symbol val="triangle"/>
            <c:size val="15"/>
            <c:spPr>
              <a:solidFill>
                <a:schemeClr val="bg1"/>
              </a:solidFill>
              <a:ln>
                <a:solidFill>
                  <a:srgbClr val="0000FF"/>
                </a:solidFill>
              </a:ln>
            </c:spPr>
          </c:marker>
          <c:xVal>
            <c:numRef>
              <c:f>'Jul''15'!$I$3:$I$32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xVal>
          <c:yVal>
            <c:numRef>
              <c:f>'Jul''15'!$J$3:$J$33</c:f>
              <c:numCache>
                <c:formatCode>0.00</c:formatCode>
                <c:ptCount val="31"/>
                <c:pt idx="0">
                  <c:v>5.45</c:v>
                </c:pt>
                <c:pt idx="1">
                  <c:v>5.21</c:v>
                </c:pt>
                <c:pt idx="2">
                  <c:v>5.48</c:v>
                </c:pt>
                <c:pt idx="3">
                  <c:v>5.45</c:v>
                </c:pt>
                <c:pt idx="4">
                  <c:v>5.47</c:v>
                </c:pt>
                <c:pt idx="5">
                  <c:v>5.53</c:v>
                </c:pt>
                <c:pt idx="6">
                  <c:v>5.58</c:v>
                </c:pt>
                <c:pt idx="7">
                  <c:v>5.58</c:v>
                </c:pt>
                <c:pt idx="8">
                  <c:v>5.57</c:v>
                </c:pt>
                <c:pt idx="9">
                  <c:v>5.55</c:v>
                </c:pt>
                <c:pt idx="12">
                  <c:v>5.63</c:v>
                </c:pt>
                <c:pt idx="13">
                  <c:v>5.58</c:v>
                </c:pt>
                <c:pt idx="14">
                  <c:v>5.45</c:v>
                </c:pt>
                <c:pt idx="15">
                  <c:v>5.52</c:v>
                </c:pt>
                <c:pt idx="16">
                  <c:v>5.31</c:v>
                </c:pt>
                <c:pt idx="19">
                  <c:v>5.09</c:v>
                </c:pt>
                <c:pt idx="20">
                  <c:v>5.1</c:v>
                </c:pt>
                <c:pt idx="22">
                  <c:v>5.19</c:v>
                </c:pt>
                <c:pt idx="23">
                  <c:v>5.1</c:v>
                </c:pt>
                <c:pt idx="24">
                  <c:v>5.22</c:v>
                </c:pt>
                <c:pt idx="25">
                  <c:v>5.31</c:v>
                </c:pt>
                <c:pt idx="26">
                  <c:v>5.3</c:v>
                </c:pt>
                <c:pt idx="27">
                  <c:v>5.16</c:v>
                </c:pt>
                <c:pt idx="28">
                  <c:v>5.14</c:v>
                </c:pt>
                <c:pt idx="29">
                  <c:v>5.11</c:v>
                </c:pt>
                <c:pt idx="30">
                  <c:v>5.24</c:v>
                </c:pt>
              </c:numCache>
            </c:numRef>
          </c:yVal>
          <c:smooth val="0"/>
        </c:ser>
        <c:ser>
          <c:idx val="1"/>
          <c:order val="1"/>
          <c:tx>
            <c:strRef>
              <c:f>'Jul''15'!$K$2</c:f>
              <c:strCache>
                <c:ptCount val="1"/>
                <c:pt idx="0">
                  <c:v>AD pH</c:v>
                </c:pt>
              </c:strCache>
            </c:strRef>
          </c:tx>
          <c:spPr>
            <a:ln w="25400">
              <a:noFill/>
            </a:ln>
          </c:spPr>
          <c:marker>
            <c:symbol val="triangle"/>
            <c:size val="15"/>
            <c:spPr>
              <a:solidFill>
                <a:srgbClr val="0000FF"/>
              </a:solidFill>
              <a:ln>
                <a:solidFill>
                  <a:srgbClr val="0000FF"/>
                </a:solidFill>
              </a:ln>
            </c:spPr>
          </c:marker>
          <c:xVal>
            <c:numRef>
              <c:f>'Jul''15'!$I$3:$I$32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xVal>
          <c:yVal>
            <c:numRef>
              <c:f>'Jul''15'!$K$3:$K$33</c:f>
              <c:numCache>
                <c:formatCode>0.00</c:formatCode>
                <c:ptCount val="31"/>
                <c:pt idx="0">
                  <c:v>7.23</c:v>
                </c:pt>
                <c:pt idx="1">
                  <c:v>7.19</c:v>
                </c:pt>
                <c:pt idx="2">
                  <c:v>7.2</c:v>
                </c:pt>
                <c:pt idx="3">
                  <c:v>7.18</c:v>
                </c:pt>
                <c:pt idx="4">
                  <c:v>7.13</c:v>
                </c:pt>
                <c:pt idx="5">
                  <c:v>7.16</c:v>
                </c:pt>
                <c:pt idx="6">
                  <c:v>7.14</c:v>
                </c:pt>
                <c:pt idx="7">
                  <c:v>7.13</c:v>
                </c:pt>
                <c:pt idx="8">
                  <c:v>7.13</c:v>
                </c:pt>
                <c:pt idx="9">
                  <c:v>7.13</c:v>
                </c:pt>
                <c:pt idx="12">
                  <c:v>7.08</c:v>
                </c:pt>
                <c:pt idx="13">
                  <c:v>7.22</c:v>
                </c:pt>
                <c:pt idx="14">
                  <c:v>7.26</c:v>
                </c:pt>
                <c:pt idx="15">
                  <c:v>7.29</c:v>
                </c:pt>
                <c:pt idx="16">
                  <c:v>7.29</c:v>
                </c:pt>
                <c:pt idx="19">
                  <c:v>7.3</c:v>
                </c:pt>
                <c:pt idx="20">
                  <c:v>7.39</c:v>
                </c:pt>
                <c:pt idx="22">
                  <c:v>7.38</c:v>
                </c:pt>
                <c:pt idx="23">
                  <c:v>7.26</c:v>
                </c:pt>
                <c:pt idx="24">
                  <c:v>7.28</c:v>
                </c:pt>
                <c:pt idx="25">
                  <c:v>7.3</c:v>
                </c:pt>
                <c:pt idx="26">
                  <c:v>7.33</c:v>
                </c:pt>
                <c:pt idx="27">
                  <c:v>7.34</c:v>
                </c:pt>
                <c:pt idx="28">
                  <c:v>7.24</c:v>
                </c:pt>
                <c:pt idx="29">
                  <c:v>7.29</c:v>
                </c:pt>
                <c:pt idx="30">
                  <c:v>7.23</c:v>
                </c:pt>
              </c:numCache>
            </c:numRef>
          </c:yVal>
          <c:smooth val="0"/>
        </c:ser>
        <c:dLbls>
          <c:showLegendKey val="0"/>
          <c:showVal val="0"/>
          <c:showCatName val="0"/>
          <c:showSerName val="0"/>
          <c:showPercent val="0"/>
          <c:showBubbleSize val="0"/>
        </c:dLbls>
        <c:axId val="2098291848"/>
        <c:axId val="2098286328"/>
      </c:scatterChart>
      <c:valAx>
        <c:axId val="2098291848"/>
        <c:scaling>
          <c:orientation val="minMax"/>
          <c:max val="30.0"/>
        </c:scaling>
        <c:delete val="0"/>
        <c:axPos val="b"/>
        <c:numFmt formatCode="0" sourceLinked="1"/>
        <c:majorTickMark val="out"/>
        <c:minorTickMark val="none"/>
        <c:tickLblPos val="nextTo"/>
        <c:txPr>
          <a:bodyPr/>
          <a:lstStyle/>
          <a:p>
            <a:pPr>
              <a:defRPr sz="1000" b="0" i="0"/>
            </a:pPr>
            <a:endParaRPr lang="en-US"/>
          </a:p>
        </c:txPr>
        <c:crossAx val="2098286328"/>
        <c:crosses val="autoZero"/>
        <c:crossBetween val="midCat"/>
      </c:valAx>
      <c:valAx>
        <c:axId val="2098286328"/>
        <c:scaling>
          <c:orientation val="minMax"/>
          <c:max val="8.0"/>
          <c:min val="4.0"/>
        </c:scaling>
        <c:delete val="0"/>
        <c:axPos val="l"/>
        <c:title>
          <c:tx>
            <c:rich>
              <a:bodyPr rot="-5400000" vert="horz"/>
              <a:lstStyle/>
              <a:p>
                <a:pPr>
                  <a:defRPr sz="1200"/>
                </a:pPr>
                <a:r>
                  <a:rPr lang="en-US" sz="1200"/>
                  <a:t>pH</a:t>
                </a:r>
              </a:p>
            </c:rich>
          </c:tx>
          <c:overlay val="0"/>
        </c:title>
        <c:numFmt formatCode="0.00" sourceLinked="1"/>
        <c:majorTickMark val="out"/>
        <c:minorTickMark val="none"/>
        <c:tickLblPos val="nextTo"/>
        <c:txPr>
          <a:bodyPr/>
          <a:lstStyle/>
          <a:p>
            <a:pPr>
              <a:defRPr sz="1200" b="1" i="0"/>
            </a:pPr>
            <a:endParaRPr lang="en-US"/>
          </a:p>
        </c:txPr>
        <c:crossAx val="2098291848"/>
        <c:crosses val="autoZero"/>
        <c:crossBetween val="midCat"/>
      </c:valAx>
      <c:spPr>
        <a:noFill/>
        <a:ln>
          <a:noFill/>
        </a:ln>
      </c:spPr>
    </c:plotArea>
    <c:legend>
      <c:legendPos val="r"/>
      <c:overlay val="0"/>
    </c:legend>
    <c:plotVisOnly val="1"/>
    <c:dispBlanksAs val="gap"/>
    <c:showDLblsOverMax val="0"/>
  </c:chart>
  <c:spPr>
    <a:noFill/>
    <a:ln>
      <a:noFill/>
    </a:ln>
  </c:spPr>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lineMarker"/>
        <c:varyColors val="0"/>
        <c:ser>
          <c:idx val="1"/>
          <c:order val="1"/>
          <c:tx>
            <c:strRef>
              <c:f>'Jan''15'!$N$2</c:f>
              <c:strCache>
                <c:ptCount val="1"/>
                <c:pt idx="0">
                  <c:v>AD Ripley ratio</c:v>
                </c:pt>
              </c:strCache>
            </c:strRef>
          </c:tx>
          <c:spPr>
            <a:ln w="47625">
              <a:noFill/>
            </a:ln>
          </c:spPr>
          <c:xVal>
            <c:numRef>
              <c:f>'Jan''15'!$L$3:$L$33</c:f>
              <c:numCache>
                <c:formatCode>0</c:formatCode>
                <c:ptCount val="31"/>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numCache>
            </c:numRef>
          </c:xVal>
          <c:yVal>
            <c:numRef>
              <c:f>'Jan''15'!$N$3:$N$33</c:f>
              <c:numCache>
                <c:formatCode>0.00</c:formatCode>
                <c:ptCount val="31"/>
                <c:pt idx="4">
                  <c:v>0.15</c:v>
                </c:pt>
                <c:pt idx="19">
                  <c:v>0.16</c:v>
                </c:pt>
              </c:numCache>
            </c:numRef>
          </c:yVal>
          <c:smooth val="0"/>
        </c:ser>
        <c:dLbls>
          <c:showLegendKey val="0"/>
          <c:showVal val="0"/>
          <c:showCatName val="0"/>
          <c:showSerName val="0"/>
          <c:showPercent val="0"/>
          <c:showBubbleSize val="0"/>
        </c:dLbls>
        <c:axId val="2105860536"/>
        <c:axId val="2105857528"/>
      </c:scatterChart>
      <c:scatterChart>
        <c:scatterStyle val="lineMarker"/>
        <c:varyColors val="0"/>
        <c:ser>
          <c:idx val="0"/>
          <c:order val="0"/>
          <c:tx>
            <c:strRef>
              <c:f>'Jan''15'!$M$2</c:f>
              <c:strCache>
                <c:ptCount val="1"/>
                <c:pt idx="0">
                  <c:v>hydroylzer Ripley ratio</c:v>
                </c:pt>
              </c:strCache>
            </c:strRef>
          </c:tx>
          <c:spPr>
            <a:ln w="47625">
              <a:noFill/>
            </a:ln>
          </c:spPr>
          <c:xVal>
            <c:numRef>
              <c:f>'Jan''15'!$L$3:$L$33</c:f>
              <c:numCache>
                <c:formatCode>0</c:formatCode>
                <c:ptCount val="31"/>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numCache>
            </c:numRef>
          </c:xVal>
          <c:yVal>
            <c:numRef>
              <c:f>'Jan''15'!$M$3:$M$33</c:f>
              <c:numCache>
                <c:formatCode>0.00</c:formatCode>
                <c:ptCount val="31"/>
                <c:pt idx="4">
                  <c:v>15.63</c:v>
                </c:pt>
                <c:pt idx="19">
                  <c:v>2.55</c:v>
                </c:pt>
              </c:numCache>
            </c:numRef>
          </c:yVal>
          <c:smooth val="0"/>
        </c:ser>
        <c:dLbls>
          <c:showLegendKey val="0"/>
          <c:showVal val="0"/>
          <c:showCatName val="0"/>
          <c:showSerName val="0"/>
          <c:showPercent val="0"/>
          <c:showBubbleSize val="0"/>
        </c:dLbls>
        <c:axId val="2105847432"/>
        <c:axId val="2105853128"/>
      </c:scatterChart>
      <c:valAx>
        <c:axId val="2105860536"/>
        <c:scaling>
          <c:orientation val="minMax"/>
          <c:max val="31.0"/>
          <c:min val="0.0"/>
        </c:scaling>
        <c:delete val="0"/>
        <c:axPos val="b"/>
        <c:numFmt formatCode="0" sourceLinked="1"/>
        <c:majorTickMark val="out"/>
        <c:minorTickMark val="none"/>
        <c:tickLblPos val="nextTo"/>
        <c:crossAx val="2105857528"/>
        <c:crosses val="autoZero"/>
        <c:crossBetween val="midCat"/>
      </c:valAx>
      <c:valAx>
        <c:axId val="2105857528"/>
        <c:scaling>
          <c:orientation val="minMax"/>
          <c:max val="0.9"/>
          <c:min val="0.0"/>
        </c:scaling>
        <c:delete val="0"/>
        <c:axPos val="l"/>
        <c:title>
          <c:tx>
            <c:rich>
              <a:bodyPr rot="-5400000" vert="horz"/>
              <a:lstStyle/>
              <a:p>
                <a:pPr>
                  <a:defRPr sz="1200"/>
                </a:pPr>
                <a:r>
                  <a:rPr lang="en-US" sz="1200"/>
                  <a:t>AD Ripley ratio </a:t>
                </a:r>
              </a:p>
            </c:rich>
          </c:tx>
          <c:overlay val="0"/>
        </c:title>
        <c:numFmt formatCode="0.00" sourceLinked="1"/>
        <c:majorTickMark val="out"/>
        <c:minorTickMark val="none"/>
        <c:tickLblPos val="nextTo"/>
        <c:txPr>
          <a:bodyPr/>
          <a:lstStyle/>
          <a:p>
            <a:pPr>
              <a:defRPr sz="1200" b="1" i="0"/>
            </a:pPr>
            <a:endParaRPr lang="en-US"/>
          </a:p>
        </c:txPr>
        <c:crossAx val="2105860536"/>
        <c:crosses val="autoZero"/>
        <c:crossBetween val="midCat"/>
      </c:valAx>
      <c:valAx>
        <c:axId val="2105853128"/>
        <c:scaling>
          <c:orientation val="minMax"/>
        </c:scaling>
        <c:delete val="0"/>
        <c:axPos val="r"/>
        <c:title>
          <c:tx>
            <c:rich>
              <a:bodyPr rot="-5400000" vert="horz"/>
              <a:lstStyle/>
              <a:p>
                <a:pPr>
                  <a:defRPr sz="1200" b="1" i="0"/>
                </a:pPr>
                <a:r>
                  <a:rPr lang="en-US" sz="1200" b="1" i="0"/>
                  <a:t>hydrolyzer Ripley ratio</a:t>
                </a:r>
              </a:p>
            </c:rich>
          </c:tx>
          <c:overlay val="0"/>
        </c:title>
        <c:numFmt formatCode="0.0" sourceLinked="0"/>
        <c:majorTickMark val="out"/>
        <c:minorTickMark val="none"/>
        <c:tickLblPos val="nextTo"/>
        <c:txPr>
          <a:bodyPr/>
          <a:lstStyle/>
          <a:p>
            <a:pPr>
              <a:defRPr sz="1200" b="1" i="0"/>
            </a:pPr>
            <a:endParaRPr lang="en-US"/>
          </a:p>
        </c:txPr>
        <c:crossAx val="2105847432"/>
        <c:crosses val="max"/>
        <c:crossBetween val="midCat"/>
      </c:valAx>
      <c:valAx>
        <c:axId val="2105847432"/>
        <c:scaling>
          <c:orientation val="minMax"/>
        </c:scaling>
        <c:delete val="1"/>
        <c:axPos val="b"/>
        <c:numFmt formatCode="0" sourceLinked="1"/>
        <c:majorTickMark val="out"/>
        <c:minorTickMark val="none"/>
        <c:tickLblPos val="nextTo"/>
        <c:crossAx val="2105853128"/>
        <c:crosses val="autoZero"/>
        <c:crossBetween val="midCat"/>
      </c:valAx>
      <c:spPr>
        <a:noFill/>
        <a:ln>
          <a:noFill/>
        </a:ln>
      </c:spPr>
    </c:plotArea>
    <c:legend>
      <c:legendPos val="r"/>
      <c:layout>
        <c:manualLayout>
          <c:xMode val="edge"/>
          <c:yMode val="edge"/>
          <c:x val="0.572446769916252"/>
          <c:y val="0.291901652528071"/>
          <c:w val="0.143322211264799"/>
          <c:h val="0.11282550582877"/>
        </c:manualLayout>
      </c:layout>
      <c:overlay val="0"/>
    </c:legend>
    <c:plotVisOnly val="1"/>
    <c:dispBlanksAs val="gap"/>
    <c:showDLblsOverMax val="0"/>
  </c:chart>
  <c:spPr>
    <a:noFill/>
    <a:ln>
      <a:noFill/>
    </a:ln>
  </c:spPr>
  <c:printSettings>
    <c:headerFooter/>
    <c:pageMargins b="1.0" l="0.75" r="0.75" t="1.0" header="0.5" footer="0.5"/>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1"/>
          <c:order val="0"/>
          <c:tx>
            <c:strRef>
              <c:f>'Aug''15'!$C$2</c:f>
              <c:strCache>
                <c:ptCount val="1"/>
                <c:pt idx="0">
                  <c:v>biogas consumed (m3/day)</c:v>
                </c:pt>
              </c:strCache>
            </c:strRef>
          </c:tx>
          <c:spPr>
            <a:solidFill>
              <a:schemeClr val="accent1"/>
            </a:solidFill>
            <a:ln w="47625">
              <a:noFill/>
            </a:ln>
          </c:spPr>
          <c:invertIfNegative val="0"/>
          <c:val>
            <c:numRef>
              <c:f>'Aug''15'!$C$3:$C$33</c:f>
              <c:numCache>
                <c:formatCode>#,##0</c:formatCode>
                <c:ptCount val="31"/>
                <c:pt idx="0">
                  <c:v>914.7</c:v>
                </c:pt>
                <c:pt idx="1">
                  <c:v>1047.64</c:v>
                </c:pt>
                <c:pt idx="2">
                  <c:v>896.7491638789004</c:v>
                </c:pt>
                <c:pt idx="3">
                  <c:v>1042.72</c:v>
                </c:pt>
                <c:pt idx="4">
                  <c:v>1062.72</c:v>
                </c:pt>
                <c:pt idx="5">
                  <c:v>1026.72</c:v>
                </c:pt>
                <c:pt idx="6">
                  <c:v>882.26</c:v>
                </c:pt>
                <c:pt idx="7">
                  <c:v>987.99</c:v>
                </c:pt>
                <c:pt idx="8">
                  <c:v>1127.66</c:v>
                </c:pt>
                <c:pt idx="9">
                  <c:v>900.25</c:v>
                </c:pt>
                <c:pt idx="10">
                  <c:v>1088.22</c:v>
                </c:pt>
                <c:pt idx="11">
                  <c:v>1204.44</c:v>
                </c:pt>
                <c:pt idx="13">
                  <c:v>1128.28</c:v>
                </c:pt>
                <c:pt idx="14">
                  <c:v>1196.15</c:v>
                </c:pt>
                <c:pt idx="15">
                  <c:v>1395.31</c:v>
                </c:pt>
                <c:pt idx="16">
                  <c:v>1218.61</c:v>
                </c:pt>
                <c:pt idx="17" formatCode="General">
                  <c:v>1445.02</c:v>
                </c:pt>
                <c:pt idx="18" formatCode="General">
                  <c:v>1583.8</c:v>
                </c:pt>
                <c:pt idx="19" formatCode="General">
                  <c:v>1446.04</c:v>
                </c:pt>
                <c:pt idx="20" formatCode="General">
                  <c:v>1467.71</c:v>
                </c:pt>
                <c:pt idx="21" formatCode="General">
                  <c:v>1485.85</c:v>
                </c:pt>
                <c:pt idx="22" formatCode="General">
                  <c:v>1374.05</c:v>
                </c:pt>
                <c:pt idx="23" formatCode="General">
                  <c:v>1422.64</c:v>
                </c:pt>
                <c:pt idx="24" formatCode="General">
                  <c:v>1452.58</c:v>
                </c:pt>
                <c:pt idx="25" formatCode="General">
                  <c:v>1563.74</c:v>
                </c:pt>
                <c:pt idx="26" formatCode="General">
                  <c:v>1445.01</c:v>
                </c:pt>
                <c:pt idx="27" formatCode="General">
                  <c:v>1431.9</c:v>
                </c:pt>
                <c:pt idx="28" formatCode="General">
                  <c:v>587.65</c:v>
                </c:pt>
                <c:pt idx="29" formatCode="General">
                  <c:v>1257.67</c:v>
                </c:pt>
                <c:pt idx="30" formatCode="General">
                  <c:v>1822.99</c:v>
                </c:pt>
              </c:numCache>
            </c:numRef>
          </c:val>
        </c:ser>
        <c:dLbls>
          <c:showLegendKey val="0"/>
          <c:showVal val="0"/>
          <c:showCatName val="0"/>
          <c:showSerName val="0"/>
          <c:showPercent val="0"/>
          <c:showBubbleSize val="0"/>
        </c:dLbls>
        <c:gapWidth val="10"/>
        <c:axId val="2103096984"/>
        <c:axId val="2103101912"/>
      </c:barChart>
      <c:scatterChart>
        <c:scatterStyle val="lineMarker"/>
        <c:varyColors val="0"/>
        <c:ser>
          <c:idx val="2"/>
          <c:order val="1"/>
          <c:tx>
            <c:strRef>
              <c:f>'Aug''15'!$D$2</c:f>
              <c:strCache>
                <c:ptCount val="1"/>
                <c:pt idx="0">
                  <c:v>CH4 (%)</c:v>
                </c:pt>
              </c:strCache>
            </c:strRef>
          </c:tx>
          <c:spPr>
            <a:ln w="47625">
              <a:noFill/>
            </a:ln>
          </c:spPr>
          <c:marker>
            <c:symbol val="square"/>
            <c:size val="9"/>
            <c:spPr>
              <a:solidFill>
                <a:schemeClr val="bg1"/>
              </a:solidFill>
              <a:ln>
                <a:solidFill>
                  <a:schemeClr val="tx2">
                    <a:lumMod val="75000"/>
                  </a:schemeClr>
                </a:solidFill>
              </a:ln>
            </c:spPr>
          </c:marker>
          <c:dPt>
            <c:idx val="1"/>
            <c:marker>
              <c:spPr>
                <a:solidFill>
                  <a:schemeClr val="bg1"/>
                </a:solidFill>
                <a:ln w="19050" cmpd="sng">
                  <a:solidFill>
                    <a:schemeClr val="tx2">
                      <a:lumMod val="75000"/>
                    </a:schemeClr>
                  </a:solidFill>
                </a:ln>
              </c:spPr>
            </c:marker>
            <c:bubble3D val="0"/>
          </c:dPt>
          <c:yVal>
            <c:numRef>
              <c:f>'Aug''15'!$D$3:$D$33</c:f>
              <c:numCache>
                <c:formatCode>General</c:formatCode>
                <c:ptCount val="31"/>
                <c:pt idx="0">
                  <c:v>58.4</c:v>
                </c:pt>
                <c:pt idx="1">
                  <c:v>59.6</c:v>
                </c:pt>
                <c:pt idx="2">
                  <c:v>59.8</c:v>
                </c:pt>
                <c:pt idx="3">
                  <c:v>60.5</c:v>
                </c:pt>
                <c:pt idx="4">
                  <c:v>60.2</c:v>
                </c:pt>
                <c:pt idx="5">
                  <c:v>60.6</c:v>
                </c:pt>
                <c:pt idx="6">
                  <c:v>61.1</c:v>
                </c:pt>
                <c:pt idx="7">
                  <c:v>59.1</c:v>
                </c:pt>
                <c:pt idx="8">
                  <c:v>59.4</c:v>
                </c:pt>
                <c:pt idx="9">
                  <c:v>59.0</c:v>
                </c:pt>
                <c:pt idx="10">
                  <c:v>58.8</c:v>
                </c:pt>
                <c:pt idx="11">
                  <c:v>59.8</c:v>
                </c:pt>
                <c:pt idx="13">
                  <c:v>60.4</c:v>
                </c:pt>
                <c:pt idx="14">
                  <c:v>60.4</c:v>
                </c:pt>
                <c:pt idx="15">
                  <c:v>61.0</c:v>
                </c:pt>
                <c:pt idx="16">
                  <c:v>61.9</c:v>
                </c:pt>
                <c:pt idx="17" formatCode="0.0">
                  <c:v>60.2</c:v>
                </c:pt>
                <c:pt idx="18" formatCode="0.0">
                  <c:v>60.4</c:v>
                </c:pt>
                <c:pt idx="19" formatCode="0.0">
                  <c:v>60.4</c:v>
                </c:pt>
                <c:pt idx="20" formatCode="0.0">
                  <c:v>60.2</c:v>
                </c:pt>
                <c:pt idx="21" formatCode="0.0">
                  <c:v>60.3</c:v>
                </c:pt>
                <c:pt idx="22" formatCode="0.0">
                  <c:v>60.9</c:v>
                </c:pt>
                <c:pt idx="23" formatCode="0.0">
                  <c:v>61.3</c:v>
                </c:pt>
                <c:pt idx="24" formatCode="0.0">
                  <c:v>60.7</c:v>
                </c:pt>
                <c:pt idx="25" formatCode="0.0">
                  <c:v>60.5</c:v>
                </c:pt>
                <c:pt idx="26" formatCode="0.0">
                  <c:v>60.0</c:v>
                </c:pt>
                <c:pt idx="28" formatCode="0.0">
                  <c:v>60.9</c:v>
                </c:pt>
                <c:pt idx="29" formatCode="0.0">
                  <c:v>61.9</c:v>
                </c:pt>
                <c:pt idx="30" formatCode="0.0">
                  <c:v>62.6</c:v>
                </c:pt>
              </c:numCache>
            </c:numRef>
          </c:yVal>
          <c:smooth val="0"/>
        </c:ser>
        <c:ser>
          <c:idx val="3"/>
          <c:order val="2"/>
          <c:tx>
            <c:strRef>
              <c:f>'Aug''15'!$E$2</c:f>
              <c:strCache>
                <c:ptCount val="1"/>
                <c:pt idx="0">
                  <c:v>H2S (ppm)</c:v>
                </c:pt>
              </c:strCache>
            </c:strRef>
          </c:tx>
          <c:spPr>
            <a:ln w="47625">
              <a:noFill/>
            </a:ln>
          </c:spPr>
          <c:marker>
            <c:symbol val="plus"/>
            <c:size val="9"/>
            <c:spPr>
              <a:ln w="12700" cmpd="sng">
                <a:solidFill>
                  <a:schemeClr val="tx1"/>
                </a:solidFill>
              </a:ln>
            </c:spPr>
          </c:marker>
          <c:yVal>
            <c:numRef>
              <c:f>'Aug''15'!$E$3:$E$33</c:f>
              <c:numCache>
                <c:formatCode>General</c:formatCode>
                <c:ptCount val="31"/>
                <c:pt idx="0">
                  <c:v>54.0</c:v>
                </c:pt>
                <c:pt idx="1">
                  <c:v>58.0</c:v>
                </c:pt>
                <c:pt idx="2">
                  <c:v>217.0</c:v>
                </c:pt>
                <c:pt idx="3">
                  <c:v>114.0</c:v>
                </c:pt>
                <c:pt idx="4">
                  <c:v>129.0</c:v>
                </c:pt>
                <c:pt idx="5">
                  <c:v>73.0</c:v>
                </c:pt>
                <c:pt idx="6">
                  <c:v>82.0</c:v>
                </c:pt>
                <c:pt idx="7">
                  <c:v>31.0</c:v>
                </c:pt>
                <c:pt idx="8">
                  <c:v>59.0</c:v>
                </c:pt>
                <c:pt idx="9">
                  <c:v>51.0</c:v>
                </c:pt>
                <c:pt idx="10">
                  <c:v>122.0</c:v>
                </c:pt>
                <c:pt idx="11">
                  <c:v>79.0</c:v>
                </c:pt>
                <c:pt idx="13">
                  <c:v>221.0</c:v>
                </c:pt>
                <c:pt idx="14">
                  <c:v>106.0</c:v>
                </c:pt>
                <c:pt idx="15">
                  <c:v>60.0</c:v>
                </c:pt>
                <c:pt idx="16">
                  <c:v>47.0</c:v>
                </c:pt>
                <c:pt idx="17">
                  <c:v>145.0</c:v>
                </c:pt>
                <c:pt idx="18">
                  <c:v>165.0</c:v>
                </c:pt>
                <c:pt idx="19">
                  <c:v>178.0</c:v>
                </c:pt>
                <c:pt idx="20">
                  <c:v>132.0</c:v>
                </c:pt>
                <c:pt idx="21">
                  <c:v>156.0</c:v>
                </c:pt>
                <c:pt idx="22">
                  <c:v>207.0</c:v>
                </c:pt>
                <c:pt idx="23">
                  <c:v>281.0</c:v>
                </c:pt>
                <c:pt idx="24">
                  <c:v>201.0</c:v>
                </c:pt>
                <c:pt idx="25">
                  <c:v>175.0</c:v>
                </c:pt>
                <c:pt idx="26">
                  <c:v>167.0</c:v>
                </c:pt>
                <c:pt idx="28">
                  <c:v>164.0</c:v>
                </c:pt>
                <c:pt idx="29">
                  <c:v>35.0</c:v>
                </c:pt>
                <c:pt idx="30">
                  <c:v>1.0</c:v>
                </c:pt>
              </c:numCache>
            </c:numRef>
          </c:yVal>
          <c:smooth val="0"/>
        </c:ser>
        <c:dLbls>
          <c:showLegendKey val="0"/>
          <c:showVal val="0"/>
          <c:showCatName val="0"/>
          <c:showSerName val="0"/>
          <c:showPercent val="0"/>
          <c:showBubbleSize val="0"/>
        </c:dLbls>
        <c:axId val="2103110904"/>
        <c:axId val="2103107864"/>
      </c:scatterChart>
      <c:catAx>
        <c:axId val="2103096984"/>
        <c:scaling>
          <c:orientation val="minMax"/>
        </c:scaling>
        <c:delete val="0"/>
        <c:axPos val="b"/>
        <c:numFmt formatCode="0" sourceLinked="1"/>
        <c:majorTickMark val="out"/>
        <c:minorTickMark val="none"/>
        <c:tickLblPos val="nextTo"/>
        <c:crossAx val="2103101912"/>
        <c:crosses val="autoZero"/>
        <c:auto val="1"/>
        <c:lblAlgn val="ctr"/>
        <c:lblOffset val="100"/>
        <c:noMultiLvlLbl val="1"/>
      </c:catAx>
      <c:valAx>
        <c:axId val="2103101912"/>
        <c:scaling>
          <c:orientation val="minMax"/>
          <c:max val="3000.0"/>
        </c:scaling>
        <c:delete val="0"/>
        <c:axPos val="l"/>
        <c:title>
          <c:tx>
            <c:rich>
              <a:bodyPr rot="-5400000" vert="horz"/>
              <a:lstStyle/>
              <a:p>
                <a:pPr>
                  <a:defRPr sz="1200"/>
                </a:pPr>
                <a:r>
                  <a:rPr lang="en-US" sz="1200"/>
                  <a:t>biogas volume</a:t>
                </a:r>
                <a:r>
                  <a:rPr lang="en-US" sz="1200" baseline="0"/>
                  <a:t> (m3/day)</a:t>
                </a:r>
                <a:endParaRPr lang="en-US" sz="1200"/>
              </a:p>
            </c:rich>
          </c:tx>
          <c:layout/>
          <c:overlay val="0"/>
        </c:title>
        <c:numFmt formatCode="#,##0" sourceLinked="1"/>
        <c:majorTickMark val="out"/>
        <c:minorTickMark val="none"/>
        <c:tickLblPos val="nextTo"/>
        <c:txPr>
          <a:bodyPr/>
          <a:lstStyle/>
          <a:p>
            <a:pPr>
              <a:defRPr sz="1200"/>
            </a:pPr>
            <a:endParaRPr lang="en-US"/>
          </a:p>
        </c:txPr>
        <c:crossAx val="2103096984"/>
        <c:crosses val="autoZero"/>
        <c:crossBetween val="between"/>
      </c:valAx>
      <c:valAx>
        <c:axId val="2103107864"/>
        <c:scaling>
          <c:orientation val="minMax"/>
          <c:max val="600.0"/>
        </c:scaling>
        <c:delete val="0"/>
        <c:axPos val="r"/>
        <c:numFmt formatCode="General" sourceLinked="1"/>
        <c:majorTickMark val="out"/>
        <c:minorTickMark val="none"/>
        <c:tickLblPos val="nextTo"/>
        <c:crossAx val="2103110904"/>
        <c:crosses val="max"/>
        <c:crossBetween val="midCat"/>
      </c:valAx>
      <c:valAx>
        <c:axId val="2103110904"/>
        <c:scaling>
          <c:orientation val="minMax"/>
        </c:scaling>
        <c:delete val="1"/>
        <c:axPos val="b"/>
        <c:majorTickMark val="out"/>
        <c:minorTickMark val="none"/>
        <c:tickLblPos val="nextTo"/>
        <c:crossAx val="2103107864"/>
        <c:crosses val="autoZero"/>
        <c:crossBetween val="midCat"/>
      </c:valAx>
      <c:spPr>
        <a:noFill/>
        <a:ln>
          <a:noFill/>
        </a:ln>
      </c:spPr>
    </c:plotArea>
    <c:legend>
      <c:legendPos val="r"/>
      <c:layout>
        <c:manualLayout>
          <c:xMode val="edge"/>
          <c:yMode val="edge"/>
          <c:x val="0.789478769141587"/>
          <c:y val="0.366370303378669"/>
          <c:w val="0.188605671223612"/>
          <c:h val="0.160703780319213"/>
        </c:manualLayout>
      </c:layout>
      <c:overlay val="0"/>
      <c:txPr>
        <a:bodyPr/>
        <a:lstStyle/>
        <a:p>
          <a:pPr>
            <a:defRPr sz="1200"/>
          </a:pPr>
          <a:endParaRPr lang="en-US"/>
        </a:p>
      </c:txPr>
    </c:legend>
    <c:plotVisOnly val="1"/>
    <c:dispBlanksAs val="gap"/>
    <c:showDLblsOverMax val="0"/>
  </c:chart>
  <c:spPr>
    <a:noFill/>
    <a:ln>
      <a:noFill/>
    </a:ln>
  </c:spPr>
  <c:printSettings>
    <c:headerFooter/>
    <c:pageMargins b="1.0" l="0.75" r="0.75" t="1.0"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2"/>
          <c:order val="1"/>
          <c:tx>
            <c:strRef>
              <c:f>'Aug''15'!$H$2</c:f>
              <c:strCache>
                <c:ptCount val="1"/>
                <c:pt idx="0">
                  <c:v>electricity produced (kWh/day)</c:v>
                </c:pt>
              </c:strCache>
            </c:strRef>
          </c:tx>
          <c:spPr>
            <a:solidFill>
              <a:schemeClr val="accent2"/>
            </a:solidFill>
            <a:ln w="47625">
              <a:noFill/>
            </a:ln>
          </c:spPr>
          <c:invertIfNegative val="0"/>
          <c:val>
            <c:numRef>
              <c:f>'Aug''15'!$H$3:$H$33</c:f>
              <c:numCache>
                <c:formatCode>#,##0</c:formatCode>
                <c:ptCount val="31"/>
                <c:pt idx="0">
                  <c:v>1966.309859158154</c:v>
                </c:pt>
                <c:pt idx="1">
                  <c:v>2261.85365854576</c:v>
                </c:pt>
                <c:pt idx="2">
                  <c:v>1945.685618727582</c:v>
                </c:pt>
                <c:pt idx="3">
                  <c:v>2237.0</c:v>
                </c:pt>
                <c:pt idx="4">
                  <c:v>2297.0</c:v>
                </c:pt>
                <c:pt idx="5">
                  <c:v>2422.0</c:v>
                </c:pt>
                <c:pt idx="6">
                  <c:v>1943.0</c:v>
                </c:pt>
                <c:pt idx="7">
                  <c:v>2106.0</c:v>
                </c:pt>
                <c:pt idx="8">
                  <c:v>2399.0</c:v>
                </c:pt>
                <c:pt idx="9">
                  <c:v>1940.0</c:v>
                </c:pt>
                <c:pt idx="10">
                  <c:v>2342.0</c:v>
                </c:pt>
                <c:pt idx="11">
                  <c:v>2576.0</c:v>
                </c:pt>
                <c:pt idx="13">
                  <c:v>2594.0</c:v>
                </c:pt>
                <c:pt idx="14">
                  <c:v>2665.0</c:v>
                </c:pt>
                <c:pt idx="15" formatCode="_(* #,##0_);_(* \(#,##0\);_(* &quot;-&quot;??_);_(@_)">
                  <c:v>3069.0</c:v>
                </c:pt>
                <c:pt idx="16" formatCode="_(* #,##0_);_(* \(#,##0\);_(* &quot;-&quot;??_);_(@_)">
                  <c:v>3093.0</c:v>
                </c:pt>
                <c:pt idx="17" formatCode="_(* #,##0_);_(* \(#,##0\);_(* &quot;-&quot;??_);_(@_)">
                  <c:v>3258.0</c:v>
                </c:pt>
                <c:pt idx="18" formatCode="_(* #,##0_);_(* \(#,##0\);_(* &quot;-&quot;??_);_(@_)">
                  <c:v>3365.0</c:v>
                </c:pt>
                <c:pt idx="19" formatCode="_(* #,##0_);_(* \(#,##0\);_(* &quot;-&quot;??_);_(@_)">
                  <c:v>3059.0</c:v>
                </c:pt>
                <c:pt idx="20" formatCode="_(* #,##0_);_(* \(#,##0\);_(* &quot;-&quot;??_);_(@_)">
                  <c:v>3495.0</c:v>
                </c:pt>
                <c:pt idx="21" formatCode="_(* #,##0_);_(* \(#,##0\);_(* &quot;-&quot;??_);_(@_)">
                  <c:v>3169.0</c:v>
                </c:pt>
                <c:pt idx="22" formatCode="_(* #,##0_);_(* \(#,##0\);_(* &quot;-&quot;??_);_(@_)">
                  <c:v>3062.0</c:v>
                </c:pt>
                <c:pt idx="23" formatCode="_(* #,##0_);_(* \(#,##0\);_(* &quot;-&quot;??_);_(@_)">
                  <c:v>3137.0</c:v>
                </c:pt>
                <c:pt idx="24" formatCode="_(* #,##0_);_(* \(#,##0\);_(* &quot;-&quot;??_);_(@_)">
                  <c:v>3101.0</c:v>
                </c:pt>
                <c:pt idx="25" formatCode="_(* #,##0_);_(* \(#,##0\);_(* &quot;-&quot;??_);_(@_)">
                  <c:v>3344.0</c:v>
                </c:pt>
                <c:pt idx="26" formatCode="_(* #,##0_);_(* \(#,##0\);_(* &quot;-&quot;??_);_(@_)">
                  <c:v>3091.0</c:v>
                </c:pt>
                <c:pt idx="27" formatCode="_(* #,##0_);_(* \(#,##0\);_(* &quot;-&quot;??_);_(@_)">
                  <c:v>3079.0</c:v>
                </c:pt>
                <c:pt idx="28" formatCode="_(* #,##0_);_(* \(#,##0\);_(* &quot;-&quot;??_);_(@_)">
                  <c:v>1256.0</c:v>
                </c:pt>
                <c:pt idx="29" formatCode="_(* #,##0_);_(* \(#,##0\);_(* &quot;-&quot;??_);_(@_)">
                  <c:v>3478.0</c:v>
                </c:pt>
                <c:pt idx="30" formatCode="_(* #,##0_);_(* \(#,##0\);_(* &quot;-&quot;??_);_(@_)">
                  <c:v>3808.0</c:v>
                </c:pt>
              </c:numCache>
            </c:numRef>
          </c:val>
        </c:ser>
        <c:dLbls>
          <c:showLegendKey val="0"/>
          <c:showVal val="0"/>
          <c:showCatName val="0"/>
          <c:showSerName val="0"/>
          <c:showPercent val="0"/>
          <c:showBubbleSize val="0"/>
        </c:dLbls>
        <c:gapWidth val="10"/>
        <c:axId val="2108087624"/>
        <c:axId val="2108092712"/>
      </c:barChart>
      <c:scatterChart>
        <c:scatterStyle val="lineMarker"/>
        <c:varyColors val="0"/>
        <c:ser>
          <c:idx val="1"/>
          <c:order val="0"/>
          <c:tx>
            <c:strRef>
              <c:f>'Aug''15'!$G$2</c:f>
              <c:strCache>
                <c:ptCount val="1"/>
                <c:pt idx="0">
                  <c:v>electricity consumed (kWh/day)</c:v>
                </c:pt>
              </c:strCache>
            </c:strRef>
          </c:tx>
          <c:spPr>
            <a:ln w="47625">
              <a:noFill/>
            </a:ln>
          </c:spPr>
          <c:marker>
            <c:symbol val="circle"/>
            <c:size val="9"/>
            <c:spPr>
              <a:solidFill>
                <a:schemeClr val="bg1"/>
              </a:solidFill>
              <a:ln>
                <a:solidFill>
                  <a:schemeClr val="accent2"/>
                </a:solidFill>
              </a:ln>
            </c:spPr>
          </c:marker>
          <c:yVal>
            <c:numRef>
              <c:f>'Aug''15'!$G$3:$G$33</c:f>
              <c:numCache>
                <c:formatCode>#,##0</c:formatCode>
                <c:ptCount val="31"/>
                <c:pt idx="0">
                  <c:v>661.1830985926333</c:v>
                </c:pt>
                <c:pt idx="1">
                  <c:v>682.369337981862</c:v>
                </c:pt>
                <c:pt idx="2">
                  <c:v>596.2274247486996</c:v>
                </c:pt>
                <c:pt idx="3">
                  <c:v>569.2</c:v>
                </c:pt>
                <c:pt idx="4">
                  <c:v>698.9</c:v>
                </c:pt>
                <c:pt idx="5">
                  <c:v>693.1</c:v>
                </c:pt>
                <c:pt idx="6" formatCode="General">
                  <c:v>756.2</c:v>
                </c:pt>
                <c:pt idx="7" formatCode="General">
                  <c:v>612.1</c:v>
                </c:pt>
                <c:pt idx="8" formatCode="General">
                  <c:v>680.5</c:v>
                </c:pt>
                <c:pt idx="9" formatCode="General">
                  <c:v>694.5</c:v>
                </c:pt>
                <c:pt idx="10" formatCode="General">
                  <c:v>698.6</c:v>
                </c:pt>
                <c:pt idx="11" formatCode="General">
                  <c:v>757.9</c:v>
                </c:pt>
                <c:pt idx="13" formatCode="General">
                  <c:v>700.9</c:v>
                </c:pt>
                <c:pt idx="14" formatCode="General">
                  <c:v>669.5</c:v>
                </c:pt>
                <c:pt idx="15" formatCode="General">
                  <c:v>614.7</c:v>
                </c:pt>
                <c:pt idx="16" formatCode="General">
                  <c:v>563.4</c:v>
                </c:pt>
                <c:pt idx="17" formatCode="General">
                  <c:v>728.0</c:v>
                </c:pt>
                <c:pt idx="18" formatCode="General">
                  <c:v>646.6</c:v>
                </c:pt>
                <c:pt idx="19" formatCode="General">
                  <c:v>584.1</c:v>
                </c:pt>
                <c:pt idx="20" formatCode="General">
                  <c:v>598.2</c:v>
                </c:pt>
                <c:pt idx="21" formatCode="General">
                  <c:v>621.0</c:v>
                </c:pt>
                <c:pt idx="22" formatCode="General">
                  <c:v>603.6</c:v>
                </c:pt>
                <c:pt idx="23" formatCode="General">
                  <c:v>580.6</c:v>
                </c:pt>
                <c:pt idx="24" formatCode="General">
                  <c:v>635.1</c:v>
                </c:pt>
                <c:pt idx="25" formatCode="General">
                  <c:v>652.6</c:v>
                </c:pt>
                <c:pt idx="26" formatCode="General">
                  <c:v>585.6</c:v>
                </c:pt>
                <c:pt idx="27" formatCode="General">
                  <c:v>600.5</c:v>
                </c:pt>
                <c:pt idx="28" formatCode="General">
                  <c:v>656.8</c:v>
                </c:pt>
                <c:pt idx="29" formatCode="General">
                  <c:v>613.6</c:v>
                </c:pt>
                <c:pt idx="30" formatCode="General">
                  <c:v>639.7</c:v>
                </c:pt>
              </c:numCache>
            </c:numRef>
          </c:yVal>
          <c:smooth val="0"/>
        </c:ser>
        <c:dLbls>
          <c:showLegendKey val="0"/>
          <c:showVal val="0"/>
          <c:showCatName val="0"/>
          <c:showSerName val="0"/>
          <c:showPercent val="0"/>
          <c:showBubbleSize val="0"/>
        </c:dLbls>
        <c:axId val="2108087624"/>
        <c:axId val="2108092712"/>
      </c:scatterChart>
      <c:catAx>
        <c:axId val="2108087624"/>
        <c:scaling>
          <c:orientation val="minMax"/>
        </c:scaling>
        <c:delete val="0"/>
        <c:axPos val="b"/>
        <c:numFmt formatCode="0" sourceLinked="1"/>
        <c:majorTickMark val="out"/>
        <c:minorTickMark val="none"/>
        <c:tickLblPos val="nextTo"/>
        <c:crossAx val="2108092712"/>
        <c:crosses val="autoZero"/>
        <c:auto val="1"/>
        <c:lblAlgn val="ctr"/>
        <c:lblOffset val="100"/>
        <c:noMultiLvlLbl val="1"/>
      </c:catAx>
      <c:valAx>
        <c:axId val="2108092712"/>
        <c:scaling>
          <c:orientation val="minMax"/>
          <c:max val="9000.0"/>
        </c:scaling>
        <c:delete val="0"/>
        <c:axPos val="l"/>
        <c:title>
          <c:tx>
            <c:rich>
              <a:bodyPr rot="-5400000" vert="horz"/>
              <a:lstStyle/>
              <a:p>
                <a:pPr>
                  <a:defRPr sz="1200"/>
                </a:pPr>
                <a:r>
                  <a:rPr lang="en-US" sz="1200"/>
                  <a:t>electricity</a:t>
                </a:r>
                <a:r>
                  <a:rPr lang="en-US" sz="1200" baseline="0"/>
                  <a:t> (kWh/day)</a:t>
                </a:r>
                <a:endParaRPr lang="en-US" sz="1200"/>
              </a:p>
            </c:rich>
          </c:tx>
          <c:overlay val="0"/>
        </c:title>
        <c:numFmt formatCode="#,##0" sourceLinked="1"/>
        <c:majorTickMark val="out"/>
        <c:minorTickMark val="none"/>
        <c:tickLblPos val="nextTo"/>
        <c:txPr>
          <a:bodyPr/>
          <a:lstStyle/>
          <a:p>
            <a:pPr>
              <a:defRPr sz="1200"/>
            </a:pPr>
            <a:endParaRPr lang="en-US"/>
          </a:p>
        </c:txPr>
        <c:crossAx val="2108087624"/>
        <c:crosses val="autoZero"/>
        <c:crossBetween val="between"/>
      </c:valAx>
      <c:spPr>
        <a:noFill/>
        <a:ln>
          <a:noFill/>
        </a:ln>
      </c:spPr>
    </c:plotArea>
    <c:legend>
      <c:legendPos val="r"/>
      <c:layout>
        <c:manualLayout>
          <c:xMode val="edge"/>
          <c:yMode val="edge"/>
          <c:x val="0.76506328227396"/>
          <c:y val="0.362752590606079"/>
          <c:w val="0.227812807182886"/>
          <c:h val="0.110286656299225"/>
        </c:manualLayout>
      </c:layout>
      <c:overlay val="0"/>
      <c:txPr>
        <a:bodyPr/>
        <a:lstStyle/>
        <a:p>
          <a:pPr>
            <a:defRPr sz="1200"/>
          </a:pPr>
          <a:endParaRPr lang="en-US"/>
        </a:p>
      </c:txPr>
    </c:legend>
    <c:plotVisOnly val="1"/>
    <c:dispBlanksAs val="gap"/>
    <c:showDLblsOverMax val="0"/>
  </c:chart>
  <c:spPr>
    <a:noFill/>
    <a:ln>
      <a:noFill/>
    </a:ln>
  </c:spPr>
  <c:printSettings>
    <c:headerFooter/>
    <c:pageMargins b="1.0" l="0.75" r="0.75" t="1.0"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lineMarker"/>
        <c:varyColors val="0"/>
        <c:ser>
          <c:idx val="0"/>
          <c:order val="0"/>
          <c:tx>
            <c:strRef>
              <c:f>'Aug''15'!$M$2</c:f>
              <c:strCache>
                <c:ptCount val="1"/>
                <c:pt idx="0">
                  <c:v>hydroylzer Ripley ratio</c:v>
                </c:pt>
              </c:strCache>
            </c:strRef>
          </c:tx>
          <c:spPr>
            <a:ln w="47625">
              <a:noFill/>
            </a:ln>
          </c:spPr>
          <c:xVal>
            <c:numRef>
              <c:f>'Aug''15'!$L$3:$L$33</c:f>
              <c:numCache>
                <c:formatCode>0</c:formatCode>
                <c:ptCount val="31"/>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numCache>
            </c:numRef>
          </c:xVal>
          <c:yVal>
            <c:numRef>
              <c:f>'Aug''15'!$M$3:$M$33</c:f>
              <c:numCache>
                <c:formatCode>General</c:formatCode>
                <c:ptCount val="31"/>
              </c:numCache>
            </c:numRef>
          </c:yVal>
          <c:smooth val="0"/>
        </c:ser>
        <c:ser>
          <c:idx val="1"/>
          <c:order val="1"/>
          <c:tx>
            <c:strRef>
              <c:f>'Aug''15'!$N$2</c:f>
              <c:strCache>
                <c:ptCount val="1"/>
                <c:pt idx="0">
                  <c:v>AD Ripley ratio</c:v>
                </c:pt>
              </c:strCache>
            </c:strRef>
          </c:tx>
          <c:spPr>
            <a:ln w="47625">
              <a:noFill/>
            </a:ln>
          </c:spPr>
          <c:xVal>
            <c:numRef>
              <c:f>'Aug''15'!$L$3:$L$33</c:f>
              <c:numCache>
                <c:formatCode>0</c:formatCode>
                <c:ptCount val="31"/>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numCache>
            </c:numRef>
          </c:xVal>
          <c:yVal>
            <c:numRef>
              <c:f>'Aug''15'!$N$3:$N$33</c:f>
              <c:numCache>
                <c:formatCode>General</c:formatCode>
                <c:ptCount val="31"/>
                <c:pt idx="4">
                  <c:v>0.48</c:v>
                </c:pt>
                <c:pt idx="10">
                  <c:v>0.435</c:v>
                </c:pt>
                <c:pt idx="16">
                  <c:v>0.41</c:v>
                </c:pt>
                <c:pt idx="23">
                  <c:v>0.43</c:v>
                </c:pt>
                <c:pt idx="30" formatCode="0.00">
                  <c:v>0.535</c:v>
                </c:pt>
              </c:numCache>
            </c:numRef>
          </c:yVal>
          <c:smooth val="0"/>
        </c:ser>
        <c:dLbls>
          <c:showLegendKey val="0"/>
          <c:showVal val="0"/>
          <c:showCatName val="0"/>
          <c:showSerName val="0"/>
          <c:showPercent val="0"/>
          <c:showBubbleSize val="0"/>
        </c:dLbls>
        <c:axId val="2108136280"/>
        <c:axId val="2108139352"/>
      </c:scatterChart>
      <c:valAx>
        <c:axId val="2108136280"/>
        <c:scaling>
          <c:orientation val="minMax"/>
          <c:max val="30.0"/>
        </c:scaling>
        <c:delete val="0"/>
        <c:axPos val="b"/>
        <c:numFmt formatCode="0" sourceLinked="1"/>
        <c:majorTickMark val="out"/>
        <c:minorTickMark val="none"/>
        <c:tickLblPos val="nextTo"/>
        <c:crossAx val="2108139352"/>
        <c:crosses val="autoZero"/>
        <c:crossBetween val="midCat"/>
      </c:valAx>
      <c:valAx>
        <c:axId val="2108139352"/>
        <c:scaling>
          <c:orientation val="minMax"/>
          <c:max val="0.9"/>
        </c:scaling>
        <c:delete val="0"/>
        <c:axPos val="l"/>
        <c:title>
          <c:tx>
            <c:rich>
              <a:bodyPr rot="-5400000" vert="horz"/>
              <a:lstStyle/>
              <a:p>
                <a:pPr>
                  <a:defRPr sz="1200"/>
                </a:pPr>
                <a:r>
                  <a:rPr lang="en-US" sz="1200"/>
                  <a:t>Ripley ratio </a:t>
                </a:r>
              </a:p>
            </c:rich>
          </c:tx>
          <c:overlay val="0"/>
        </c:title>
        <c:numFmt formatCode="General" sourceLinked="1"/>
        <c:majorTickMark val="out"/>
        <c:minorTickMark val="none"/>
        <c:tickLblPos val="nextTo"/>
        <c:txPr>
          <a:bodyPr/>
          <a:lstStyle/>
          <a:p>
            <a:pPr>
              <a:defRPr sz="1200" b="1" i="0"/>
            </a:pPr>
            <a:endParaRPr lang="en-US"/>
          </a:p>
        </c:txPr>
        <c:crossAx val="2108136280"/>
        <c:crosses val="autoZero"/>
        <c:crossBetween val="midCat"/>
      </c:valAx>
      <c:spPr>
        <a:noFill/>
        <a:ln>
          <a:noFill/>
        </a:ln>
      </c:spPr>
    </c:plotArea>
    <c:legend>
      <c:legendPos val="r"/>
      <c:overlay val="0"/>
    </c:legend>
    <c:plotVisOnly val="1"/>
    <c:dispBlanksAs val="gap"/>
    <c:showDLblsOverMax val="0"/>
  </c:chart>
  <c:spPr>
    <a:noFill/>
    <a:ln>
      <a:noFill/>
    </a:ln>
  </c:spPr>
  <c:printSettings>
    <c:headerFooter/>
    <c:pageMargins b="1.0" l="0.75" r="0.75" t="1.0"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lineMarker"/>
        <c:varyColors val="0"/>
        <c:ser>
          <c:idx val="0"/>
          <c:order val="0"/>
          <c:tx>
            <c:strRef>
              <c:f>'Aug''15'!$J$2</c:f>
              <c:strCache>
                <c:ptCount val="1"/>
                <c:pt idx="0">
                  <c:v>Hydrolyzer pH</c:v>
                </c:pt>
              </c:strCache>
            </c:strRef>
          </c:tx>
          <c:spPr>
            <a:ln w="47625">
              <a:noFill/>
            </a:ln>
          </c:spPr>
          <c:marker>
            <c:symbol val="triangle"/>
            <c:size val="15"/>
            <c:spPr>
              <a:solidFill>
                <a:schemeClr val="bg1"/>
              </a:solidFill>
              <a:ln>
                <a:solidFill>
                  <a:srgbClr val="0000FF"/>
                </a:solidFill>
              </a:ln>
            </c:spPr>
          </c:marker>
          <c:xVal>
            <c:numRef>
              <c:f>'Aug''15'!$I$3:$I$33</c:f>
              <c:numCache>
                <c:formatCode>0</c:formatCode>
                <c:ptCount val="31"/>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numCache>
            </c:numRef>
          </c:xVal>
          <c:yVal>
            <c:numRef>
              <c:f>'Aug''15'!$J$3:$J$33</c:f>
              <c:numCache>
                <c:formatCode>0.00</c:formatCode>
                <c:ptCount val="31"/>
                <c:pt idx="0">
                  <c:v>4.99</c:v>
                </c:pt>
                <c:pt idx="1">
                  <c:v>5.01</c:v>
                </c:pt>
                <c:pt idx="2">
                  <c:v>5.13</c:v>
                </c:pt>
                <c:pt idx="4">
                  <c:v>4.97</c:v>
                </c:pt>
                <c:pt idx="5">
                  <c:v>4.96</c:v>
                </c:pt>
                <c:pt idx="6" formatCode="General">
                  <c:v>5.03</c:v>
                </c:pt>
                <c:pt idx="7" formatCode="General">
                  <c:v>5.05</c:v>
                </c:pt>
                <c:pt idx="8" formatCode="General">
                  <c:v>5.03</c:v>
                </c:pt>
                <c:pt idx="9" formatCode="General">
                  <c:v>5.18</c:v>
                </c:pt>
                <c:pt idx="10" formatCode="General">
                  <c:v>5.04</c:v>
                </c:pt>
                <c:pt idx="11" formatCode="General">
                  <c:v>4.9</c:v>
                </c:pt>
                <c:pt idx="13" formatCode="General">
                  <c:v>4.98</c:v>
                </c:pt>
                <c:pt idx="15" formatCode="General">
                  <c:v>4.99</c:v>
                </c:pt>
                <c:pt idx="16">
                  <c:v>5.07</c:v>
                </c:pt>
                <c:pt idx="17">
                  <c:v>4.96</c:v>
                </c:pt>
                <c:pt idx="18">
                  <c:v>4.9</c:v>
                </c:pt>
                <c:pt idx="20">
                  <c:v>5.04</c:v>
                </c:pt>
                <c:pt idx="21">
                  <c:v>5.0</c:v>
                </c:pt>
                <c:pt idx="22">
                  <c:v>5.305</c:v>
                </c:pt>
                <c:pt idx="24">
                  <c:v>4.92</c:v>
                </c:pt>
                <c:pt idx="25">
                  <c:v>4.87</c:v>
                </c:pt>
                <c:pt idx="26">
                  <c:v>4.9</c:v>
                </c:pt>
                <c:pt idx="28">
                  <c:v>4.93</c:v>
                </c:pt>
                <c:pt idx="29">
                  <c:v>5.07</c:v>
                </c:pt>
                <c:pt idx="30">
                  <c:v>5.07</c:v>
                </c:pt>
              </c:numCache>
            </c:numRef>
          </c:yVal>
          <c:smooth val="0"/>
        </c:ser>
        <c:ser>
          <c:idx val="1"/>
          <c:order val="1"/>
          <c:tx>
            <c:strRef>
              <c:f>'Aug''15'!$K$2</c:f>
              <c:strCache>
                <c:ptCount val="1"/>
                <c:pt idx="0">
                  <c:v>AD pH</c:v>
                </c:pt>
              </c:strCache>
            </c:strRef>
          </c:tx>
          <c:spPr>
            <a:ln w="25400">
              <a:noFill/>
            </a:ln>
          </c:spPr>
          <c:marker>
            <c:symbol val="triangle"/>
            <c:size val="15"/>
            <c:spPr>
              <a:solidFill>
                <a:srgbClr val="0000FF"/>
              </a:solidFill>
              <a:ln>
                <a:solidFill>
                  <a:srgbClr val="0000FF"/>
                </a:solidFill>
              </a:ln>
            </c:spPr>
          </c:marker>
          <c:xVal>
            <c:numRef>
              <c:f>'Aug''15'!$I$3:$I$33</c:f>
              <c:numCache>
                <c:formatCode>0</c:formatCode>
                <c:ptCount val="31"/>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numCache>
            </c:numRef>
          </c:xVal>
          <c:yVal>
            <c:numRef>
              <c:f>'Aug''15'!$K$3:$K$33</c:f>
              <c:numCache>
                <c:formatCode>0.00</c:formatCode>
                <c:ptCount val="31"/>
                <c:pt idx="0">
                  <c:v>7.35</c:v>
                </c:pt>
                <c:pt idx="1">
                  <c:v>7.32</c:v>
                </c:pt>
                <c:pt idx="2">
                  <c:v>7.32</c:v>
                </c:pt>
                <c:pt idx="4">
                  <c:v>7.33</c:v>
                </c:pt>
                <c:pt idx="5">
                  <c:v>7.44</c:v>
                </c:pt>
                <c:pt idx="6">
                  <c:v>7.31</c:v>
                </c:pt>
                <c:pt idx="7">
                  <c:v>7.31</c:v>
                </c:pt>
                <c:pt idx="8">
                  <c:v>7.28</c:v>
                </c:pt>
                <c:pt idx="9">
                  <c:v>7.32</c:v>
                </c:pt>
                <c:pt idx="10">
                  <c:v>7.43</c:v>
                </c:pt>
                <c:pt idx="11">
                  <c:v>7.32</c:v>
                </c:pt>
                <c:pt idx="13">
                  <c:v>7.31</c:v>
                </c:pt>
                <c:pt idx="15">
                  <c:v>7.32</c:v>
                </c:pt>
                <c:pt idx="16">
                  <c:v>7.33</c:v>
                </c:pt>
                <c:pt idx="17">
                  <c:v>7.36</c:v>
                </c:pt>
                <c:pt idx="18">
                  <c:v>7.3</c:v>
                </c:pt>
                <c:pt idx="20">
                  <c:v>7.32</c:v>
                </c:pt>
                <c:pt idx="21">
                  <c:v>7.31</c:v>
                </c:pt>
                <c:pt idx="22">
                  <c:v>7.35</c:v>
                </c:pt>
                <c:pt idx="23">
                  <c:v>7.52</c:v>
                </c:pt>
                <c:pt idx="24">
                  <c:v>7.31</c:v>
                </c:pt>
                <c:pt idx="25">
                  <c:v>7.35</c:v>
                </c:pt>
                <c:pt idx="26">
                  <c:v>7.34</c:v>
                </c:pt>
                <c:pt idx="28">
                  <c:v>7.28</c:v>
                </c:pt>
                <c:pt idx="29">
                  <c:v>7.26</c:v>
                </c:pt>
                <c:pt idx="30">
                  <c:v>7.43</c:v>
                </c:pt>
              </c:numCache>
            </c:numRef>
          </c:yVal>
          <c:smooth val="0"/>
        </c:ser>
        <c:dLbls>
          <c:showLegendKey val="0"/>
          <c:showVal val="0"/>
          <c:showCatName val="0"/>
          <c:showSerName val="0"/>
          <c:showPercent val="0"/>
          <c:showBubbleSize val="0"/>
        </c:dLbls>
        <c:axId val="2103133144"/>
        <c:axId val="2103135640"/>
      </c:scatterChart>
      <c:valAx>
        <c:axId val="2103133144"/>
        <c:scaling>
          <c:orientation val="minMax"/>
          <c:max val="30.0"/>
        </c:scaling>
        <c:delete val="0"/>
        <c:axPos val="b"/>
        <c:numFmt formatCode="0" sourceLinked="1"/>
        <c:majorTickMark val="out"/>
        <c:minorTickMark val="none"/>
        <c:tickLblPos val="nextTo"/>
        <c:txPr>
          <a:bodyPr/>
          <a:lstStyle/>
          <a:p>
            <a:pPr>
              <a:defRPr sz="1000" b="0" i="0"/>
            </a:pPr>
            <a:endParaRPr lang="en-US"/>
          </a:p>
        </c:txPr>
        <c:crossAx val="2103135640"/>
        <c:crosses val="autoZero"/>
        <c:crossBetween val="midCat"/>
      </c:valAx>
      <c:valAx>
        <c:axId val="2103135640"/>
        <c:scaling>
          <c:orientation val="minMax"/>
          <c:max val="8.0"/>
          <c:min val="4.0"/>
        </c:scaling>
        <c:delete val="0"/>
        <c:axPos val="l"/>
        <c:title>
          <c:tx>
            <c:rich>
              <a:bodyPr rot="-5400000" vert="horz"/>
              <a:lstStyle/>
              <a:p>
                <a:pPr>
                  <a:defRPr sz="1200"/>
                </a:pPr>
                <a:r>
                  <a:rPr lang="en-US" sz="1200"/>
                  <a:t>pH</a:t>
                </a:r>
              </a:p>
            </c:rich>
          </c:tx>
          <c:overlay val="0"/>
        </c:title>
        <c:numFmt formatCode="0.00" sourceLinked="1"/>
        <c:majorTickMark val="out"/>
        <c:minorTickMark val="none"/>
        <c:tickLblPos val="nextTo"/>
        <c:txPr>
          <a:bodyPr/>
          <a:lstStyle/>
          <a:p>
            <a:pPr>
              <a:defRPr sz="1200" b="1" i="0"/>
            </a:pPr>
            <a:endParaRPr lang="en-US"/>
          </a:p>
        </c:txPr>
        <c:crossAx val="2103133144"/>
        <c:crosses val="autoZero"/>
        <c:crossBetween val="midCat"/>
      </c:valAx>
      <c:spPr>
        <a:noFill/>
        <a:ln>
          <a:noFill/>
        </a:ln>
      </c:spPr>
    </c:plotArea>
    <c:legend>
      <c:legendPos val="r"/>
      <c:overlay val="0"/>
    </c:legend>
    <c:plotVisOnly val="1"/>
    <c:dispBlanksAs val="gap"/>
    <c:showDLblsOverMax val="0"/>
  </c:chart>
  <c:spPr>
    <a:noFill/>
    <a:ln>
      <a:noFill/>
    </a:ln>
  </c:spPr>
  <c:printSettings>
    <c:headerFooter/>
    <c:pageMargins b="1.0" l="0.75" r="0.75" t="1.0"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stacked"/>
        <c:varyColors val="0"/>
        <c:ser>
          <c:idx val="0"/>
          <c:order val="0"/>
          <c:tx>
            <c:strRef>
              <c:f>'Jun''15'!$O$2</c:f>
              <c:strCache>
                <c:ptCount val="1"/>
                <c:pt idx="0">
                  <c:v>Hydrolyzer TA (mg/L CaCO3)</c:v>
                </c:pt>
              </c:strCache>
            </c:strRef>
          </c:tx>
          <c:spPr>
            <a:ln w="47625">
              <a:noFill/>
            </a:ln>
          </c:spPr>
          <c:invertIfNegative val="0"/>
          <c:cat>
            <c:numRef>
              <c:f>'Jun''15'!$N$3:$N$32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cat>
          <c:val>
            <c:numRef>
              <c:f>'Jun''15'!$O$3:$O$32</c:f>
              <c:numCache>
                <c:formatCode>_(* #,##0_);_(* \(#,##0\);_(* "-"??_);_(@_)</c:formatCode>
                <c:ptCount val="30"/>
                <c:pt idx="3">
                  <c:v>2837.5</c:v>
                </c:pt>
                <c:pt idx="11">
                  <c:v>1766.666666666667</c:v>
                </c:pt>
                <c:pt idx="17">
                  <c:v>2225.0</c:v>
                </c:pt>
                <c:pt idx="25">
                  <c:v>2308.333333333333</c:v>
                </c:pt>
              </c:numCache>
            </c:numRef>
          </c:val>
        </c:ser>
        <c:ser>
          <c:idx val="3"/>
          <c:order val="2"/>
          <c:tx>
            <c:strRef>
              <c:f>'Jun''15'!$R$2</c:f>
              <c:strCache>
                <c:ptCount val="1"/>
                <c:pt idx="0">
                  <c:v>AD TA (mg/L CaCO3)</c:v>
                </c:pt>
              </c:strCache>
            </c:strRef>
          </c:tx>
          <c:spPr>
            <a:ln w="47625">
              <a:noFill/>
            </a:ln>
          </c:spPr>
          <c:invertIfNegative val="0"/>
          <c:cat>
            <c:numRef>
              <c:f>'Jun''15'!$N$3:$N$32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cat>
          <c:val>
            <c:numRef>
              <c:f>'Jun''15'!$R$3:$R$32</c:f>
              <c:numCache>
                <c:formatCode>_(* #,##0_);_(* \(#,##0\);_(* "-"??_);_(@_)</c:formatCode>
                <c:ptCount val="30"/>
                <c:pt idx="3">
                  <c:v>5725.0</c:v>
                </c:pt>
                <c:pt idx="11">
                  <c:v>5179.166666666666</c:v>
                </c:pt>
                <c:pt idx="17">
                  <c:v>5150.0</c:v>
                </c:pt>
                <c:pt idx="25">
                  <c:v>5441.666666666666</c:v>
                </c:pt>
                <c:pt idx="29">
                  <c:v>5433.333333333333</c:v>
                </c:pt>
              </c:numCache>
            </c:numRef>
          </c:val>
        </c:ser>
        <c:ser>
          <c:idx val="1"/>
          <c:order val="1"/>
          <c:tx>
            <c:strRef>
              <c:f>'Jun''15'!$P$2</c:f>
              <c:strCache>
                <c:ptCount val="1"/>
                <c:pt idx="0">
                  <c:v>hydrolyzer PA (mg/L CaCO3)</c:v>
                </c:pt>
              </c:strCache>
            </c:strRef>
          </c:tx>
          <c:spPr>
            <a:ln w="47625">
              <a:noFill/>
            </a:ln>
          </c:spPr>
          <c:invertIfNegative val="0"/>
          <c:val>
            <c:numRef>
              <c:f>'Jun''15'!$P$3:$P$32</c:f>
              <c:numCache>
                <c:formatCode>_(* #,##0_);_(* \(#,##0\);_(* "-"??_);_(@_)</c:formatCode>
                <c:ptCount val="30"/>
              </c:numCache>
            </c:numRef>
          </c:val>
        </c:ser>
        <c:ser>
          <c:idx val="4"/>
          <c:order val="3"/>
          <c:tx>
            <c:strRef>
              <c:f>'Jun''15'!$S$2</c:f>
              <c:strCache>
                <c:ptCount val="1"/>
                <c:pt idx="0">
                  <c:v>AD PA (mg/L CaCO3)</c:v>
                </c:pt>
              </c:strCache>
            </c:strRef>
          </c:tx>
          <c:spPr>
            <a:ln w="47625">
              <a:noFill/>
            </a:ln>
          </c:spPr>
          <c:invertIfNegative val="0"/>
          <c:val>
            <c:numRef>
              <c:f>'Jun''15'!$S$3:$S$32</c:f>
              <c:numCache>
                <c:formatCode>_(* #,##0_);_(* \(#,##0\);_(* "-"??_);_(@_)</c:formatCode>
                <c:ptCount val="30"/>
                <c:pt idx="3">
                  <c:v>2825.0</c:v>
                </c:pt>
                <c:pt idx="11">
                  <c:v>2650.0</c:v>
                </c:pt>
                <c:pt idx="17">
                  <c:v>2733.333333333333</c:v>
                </c:pt>
                <c:pt idx="25">
                  <c:v>2875.0</c:v>
                </c:pt>
                <c:pt idx="29">
                  <c:v>3008.333333333333</c:v>
                </c:pt>
              </c:numCache>
            </c:numRef>
          </c:val>
        </c:ser>
        <c:ser>
          <c:idx val="5"/>
          <c:order val="4"/>
          <c:tx>
            <c:strRef>
              <c:f>'Jun''15'!$T$2</c:f>
              <c:strCache>
                <c:ptCount val="1"/>
                <c:pt idx="0">
                  <c:v>AD IA (mg/L CaCO3)</c:v>
                </c:pt>
              </c:strCache>
            </c:strRef>
          </c:tx>
          <c:spPr>
            <a:ln w="47625">
              <a:noFill/>
            </a:ln>
          </c:spPr>
          <c:invertIfNegative val="0"/>
          <c:val>
            <c:numRef>
              <c:f>'Jun''15'!$T$3:$T$32</c:f>
              <c:numCache>
                <c:formatCode>_(* #,##0_);_(* \(#,##0\);_(* "-"??_);_(@_)</c:formatCode>
                <c:ptCount val="30"/>
                <c:pt idx="3">
                  <c:v>2416.666666666667</c:v>
                </c:pt>
                <c:pt idx="11">
                  <c:v>2108.333333333333</c:v>
                </c:pt>
                <c:pt idx="17">
                  <c:v>2000.0</c:v>
                </c:pt>
                <c:pt idx="25">
                  <c:v>2191.666666666667</c:v>
                </c:pt>
                <c:pt idx="29">
                  <c:v>1908.333333333333</c:v>
                </c:pt>
              </c:numCache>
            </c:numRef>
          </c:val>
        </c:ser>
        <c:dLbls>
          <c:showLegendKey val="0"/>
          <c:showVal val="0"/>
          <c:showCatName val="0"/>
          <c:showSerName val="0"/>
          <c:showPercent val="0"/>
          <c:showBubbleSize val="0"/>
        </c:dLbls>
        <c:gapWidth val="10"/>
        <c:overlap val="100"/>
        <c:axId val="2108184360"/>
        <c:axId val="2108187480"/>
      </c:barChart>
      <c:catAx>
        <c:axId val="2108184360"/>
        <c:scaling>
          <c:orientation val="minMax"/>
        </c:scaling>
        <c:delete val="0"/>
        <c:axPos val="b"/>
        <c:numFmt formatCode="0" sourceLinked="1"/>
        <c:majorTickMark val="out"/>
        <c:minorTickMark val="none"/>
        <c:tickLblPos val="nextTo"/>
        <c:crossAx val="2108187480"/>
        <c:crosses val="autoZero"/>
        <c:auto val="1"/>
        <c:lblAlgn val="ctr"/>
        <c:lblOffset val="100"/>
        <c:noMultiLvlLbl val="0"/>
      </c:catAx>
      <c:valAx>
        <c:axId val="2108187480"/>
        <c:scaling>
          <c:orientation val="minMax"/>
        </c:scaling>
        <c:delete val="0"/>
        <c:axPos val="l"/>
        <c:numFmt formatCode="_(* #,##0_);_(* \(#,##0\);_(* &quot;-&quot;??_);_(@_)" sourceLinked="1"/>
        <c:majorTickMark val="out"/>
        <c:minorTickMark val="none"/>
        <c:tickLblPos val="nextTo"/>
        <c:crossAx val="2108184360"/>
        <c:crosses val="autoZero"/>
        <c:crossBetween val="between"/>
      </c:valAx>
    </c:plotArea>
    <c:legend>
      <c:legendPos val="r"/>
      <c:overlay val="0"/>
    </c:legend>
    <c:plotVisOnly val="1"/>
    <c:dispBlanksAs val="gap"/>
    <c:showDLblsOverMax val="0"/>
  </c:chart>
  <c:printSettings>
    <c:headerFooter/>
    <c:pageMargins b="1.0" l="0.75" r="0.75" t="1.0"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strRef>
              <c:f>'Sep''15'!$C$2</c:f>
              <c:strCache>
                <c:ptCount val="1"/>
                <c:pt idx="0">
                  <c:v>biogas consumed (m3/day)</c:v>
                </c:pt>
              </c:strCache>
            </c:strRef>
          </c:tx>
          <c:spPr>
            <a:ln w="47625">
              <a:noFill/>
            </a:ln>
          </c:spPr>
          <c:invertIfNegative val="0"/>
          <c:val>
            <c:numRef>
              <c:f>'Sep''15'!$C$3:$C$32</c:f>
              <c:numCache>
                <c:formatCode>General</c:formatCode>
                <c:ptCount val="30"/>
                <c:pt idx="0">
                  <c:v>1217.62</c:v>
                </c:pt>
                <c:pt idx="1">
                  <c:v>1830.08</c:v>
                </c:pt>
                <c:pt idx="2">
                  <c:v>1704.88</c:v>
                </c:pt>
                <c:pt idx="3">
                  <c:v>943.22</c:v>
                </c:pt>
                <c:pt idx="4">
                  <c:v>3023.25</c:v>
                </c:pt>
                <c:pt idx="5">
                  <c:v>1304.48</c:v>
                </c:pt>
                <c:pt idx="6">
                  <c:v>1521.46</c:v>
                </c:pt>
                <c:pt idx="7">
                  <c:v>1457.44</c:v>
                </c:pt>
                <c:pt idx="8">
                  <c:v>1397.12</c:v>
                </c:pt>
                <c:pt idx="10">
                  <c:v>815.59</c:v>
                </c:pt>
                <c:pt idx="12">
                  <c:v>402.51</c:v>
                </c:pt>
                <c:pt idx="13">
                  <c:v>0.0</c:v>
                </c:pt>
                <c:pt idx="14">
                  <c:v>0.0</c:v>
                </c:pt>
                <c:pt idx="15">
                  <c:v>0.0</c:v>
                </c:pt>
                <c:pt idx="16">
                  <c:v>0.0</c:v>
                </c:pt>
                <c:pt idx="17">
                  <c:v>0.0</c:v>
                </c:pt>
                <c:pt idx="18">
                  <c:v>791.76</c:v>
                </c:pt>
                <c:pt idx="19">
                  <c:v>1178.9</c:v>
                </c:pt>
                <c:pt idx="20">
                  <c:v>1318.66</c:v>
                </c:pt>
                <c:pt idx="21">
                  <c:v>1363.49</c:v>
                </c:pt>
                <c:pt idx="22">
                  <c:v>1330.14</c:v>
                </c:pt>
                <c:pt idx="23">
                  <c:v>1437.97</c:v>
                </c:pt>
                <c:pt idx="24">
                  <c:v>1484.44</c:v>
                </c:pt>
                <c:pt idx="25">
                  <c:v>1541.51</c:v>
                </c:pt>
                <c:pt idx="26">
                  <c:v>1664.16</c:v>
                </c:pt>
                <c:pt idx="27">
                  <c:v>1510.09</c:v>
                </c:pt>
                <c:pt idx="28">
                  <c:v>1470.25</c:v>
                </c:pt>
                <c:pt idx="29">
                  <c:v>1554.26</c:v>
                </c:pt>
              </c:numCache>
            </c:numRef>
          </c:val>
        </c:ser>
        <c:dLbls>
          <c:showLegendKey val="0"/>
          <c:showVal val="0"/>
          <c:showCatName val="0"/>
          <c:showSerName val="0"/>
          <c:showPercent val="0"/>
          <c:showBubbleSize val="0"/>
        </c:dLbls>
        <c:gapWidth val="10"/>
        <c:axId val="2103170136"/>
        <c:axId val="2103173192"/>
      </c:barChart>
      <c:scatterChart>
        <c:scatterStyle val="lineMarker"/>
        <c:varyColors val="0"/>
        <c:ser>
          <c:idx val="1"/>
          <c:order val="1"/>
          <c:tx>
            <c:strRef>
              <c:f>'Sep''15'!$D$2</c:f>
              <c:strCache>
                <c:ptCount val="1"/>
                <c:pt idx="0">
                  <c:v>CH4 (%)</c:v>
                </c:pt>
              </c:strCache>
            </c:strRef>
          </c:tx>
          <c:spPr>
            <a:ln w="47625">
              <a:noFill/>
            </a:ln>
          </c:spPr>
          <c:marker>
            <c:symbol val="square"/>
            <c:size val="9"/>
            <c:spPr>
              <a:solidFill>
                <a:schemeClr val="bg1"/>
              </a:solidFill>
              <a:ln w="19050" cmpd="sng">
                <a:solidFill>
                  <a:srgbClr val="0000FF"/>
                </a:solidFill>
              </a:ln>
            </c:spPr>
          </c:marker>
          <c:yVal>
            <c:numRef>
              <c:f>'Sep''15'!$D$3:$D$33</c:f>
              <c:numCache>
                <c:formatCode>0.0</c:formatCode>
                <c:ptCount val="31"/>
                <c:pt idx="0">
                  <c:v>59.4</c:v>
                </c:pt>
                <c:pt idx="1">
                  <c:v>60.8</c:v>
                </c:pt>
                <c:pt idx="2">
                  <c:v>62.2</c:v>
                </c:pt>
                <c:pt idx="3">
                  <c:v>63.4</c:v>
                </c:pt>
                <c:pt idx="4">
                  <c:v>64.3</c:v>
                </c:pt>
                <c:pt idx="5">
                  <c:v>65.5</c:v>
                </c:pt>
                <c:pt idx="6">
                  <c:v>65.5</c:v>
                </c:pt>
                <c:pt idx="7">
                  <c:v>65.7</c:v>
                </c:pt>
                <c:pt idx="8">
                  <c:v>65.6</c:v>
                </c:pt>
                <c:pt idx="10">
                  <c:v>65.6</c:v>
                </c:pt>
                <c:pt idx="11">
                  <c:v>64.4</c:v>
                </c:pt>
                <c:pt idx="12">
                  <c:v>63.9</c:v>
                </c:pt>
                <c:pt idx="18">
                  <c:v>62.2</c:v>
                </c:pt>
                <c:pt idx="19">
                  <c:v>63.0</c:v>
                </c:pt>
                <c:pt idx="20">
                  <c:v>64.5</c:v>
                </c:pt>
                <c:pt idx="21">
                  <c:v>64.9</c:v>
                </c:pt>
                <c:pt idx="22">
                  <c:v>64.6</c:v>
                </c:pt>
                <c:pt idx="23">
                  <c:v>65.1</c:v>
                </c:pt>
                <c:pt idx="24">
                  <c:v>64.2</c:v>
                </c:pt>
                <c:pt idx="25">
                  <c:v>64.8</c:v>
                </c:pt>
                <c:pt idx="26">
                  <c:v>63.5</c:v>
                </c:pt>
                <c:pt idx="27">
                  <c:v>65.2</c:v>
                </c:pt>
                <c:pt idx="28">
                  <c:v>63.4</c:v>
                </c:pt>
                <c:pt idx="29">
                  <c:v>64.4</c:v>
                </c:pt>
              </c:numCache>
            </c:numRef>
          </c:yVal>
          <c:smooth val="0"/>
        </c:ser>
        <c:ser>
          <c:idx val="2"/>
          <c:order val="2"/>
          <c:tx>
            <c:strRef>
              <c:f>'Sep''15'!$E$2</c:f>
              <c:strCache>
                <c:ptCount val="1"/>
                <c:pt idx="0">
                  <c:v>H2S (ppm)</c:v>
                </c:pt>
              </c:strCache>
            </c:strRef>
          </c:tx>
          <c:spPr>
            <a:ln w="47625">
              <a:noFill/>
            </a:ln>
          </c:spPr>
          <c:marker>
            <c:symbol val="plus"/>
            <c:size val="9"/>
            <c:spPr>
              <a:ln>
                <a:solidFill>
                  <a:schemeClr val="tx1"/>
                </a:solidFill>
              </a:ln>
            </c:spPr>
          </c:marker>
          <c:dPt>
            <c:idx val="1"/>
            <c:marker>
              <c:spPr>
                <a:ln w="19050" cmpd="sng">
                  <a:solidFill>
                    <a:schemeClr val="tx1"/>
                  </a:solidFill>
                </a:ln>
              </c:spPr>
            </c:marker>
            <c:bubble3D val="0"/>
          </c:dPt>
          <c:yVal>
            <c:numRef>
              <c:f>'Sep''15'!$E$3:$E$32</c:f>
              <c:numCache>
                <c:formatCode>General</c:formatCode>
                <c:ptCount val="30"/>
                <c:pt idx="0">
                  <c:v>304.0</c:v>
                </c:pt>
                <c:pt idx="1">
                  <c:v>193.0</c:v>
                </c:pt>
                <c:pt idx="2">
                  <c:v>119.0</c:v>
                </c:pt>
                <c:pt idx="3">
                  <c:v>76.0</c:v>
                </c:pt>
                <c:pt idx="4">
                  <c:v>159.0</c:v>
                </c:pt>
                <c:pt idx="5">
                  <c:v>51.0</c:v>
                </c:pt>
                <c:pt idx="6">
                  <c:v>149.0</c:v>
                </c:pt>
                <c:pt idx="7">
                  <c:v>133.0</c:v>
                </c:pt>
                <c:pt idx="8">
                  <c:v>159.0</c:v>
                </c:pt>
                <c:pt idx="10">
                  <c:v>46.0</c:v>
                </c:pt>
                <c:pt idx="11">
                  <c:v>132.0</c:v>
                </c:pt>
                <c:pt idx="12">
                  <c:v>168.0</c:v>
                </c:pt>
                <c:pt idx="18">
                  <c:v>72.0</c:v>
                </c:pt>
                <c:pt idx="19">
                  <c:v>208.0</c:v>
                </c:pt>
                <c:pt idx="20">
                  <c:v>18.0</c:v>
                </c:pt>
                <c:pt idx="21">
                  <c:v>118.0</c:v>
                </c:pt>
                <c:pt idx="22">
                  <c:v>73.0</c:v>
                </c:pt>
                <c:pt idx="23">
                  <c:v>7.0</c:v>
                </c:pt>
                <c:pt idx="24">
                  <c:v>15.0</c:v>
                </c:pt>
                <c:pt idx="25">
                  <c:v>7.0</c:v>
                </c:pt>
                <c:pt idx="26">
                  <c:v>13.0</c:v>
                </c:pt>
                <c:pt idx="27">
                  <c:v>60.0</c:v>
                </c:pt>
                <c:pt idx="28">
                  <c:v>43.0</c:v>
                </c:pt>
                <c:pt idx="29">
                  <c:v>76.0</c:v>
                </c:pt>
              </c:numCache>
            </c:numRef>
          </c:yVal>
          <c:smooth val="0"/>
        </c:ser>
        <c:dLbls>
          <c:showLegendKey val="0"/>
          <c:showVal val="0"/>
          <c:showCatName val="0"/>
          <c:showSerName val="0"/>
          <c:showPercent val="0"/>
          <c:showBubbleSize val="0"/>
        </c:dLbls>
        <c:axId val="2103184840"/>
        <c:axId val="2103179144"/>
      </c:scatterChart>
      <c:catAx>
        <c:axId val="2103170136"/>
        <c:scaling>
          <c:orientation val="minMax"/>
        </c:scaling>
        <c:delete val="0"/>
        <c:axPos val="b"/>
        <c:numFmt formatCode="0" sourceLinked="1"/>
        <c:majorTickMark val="out"/>
        <c:minorTickMark val="none"/>
        <c:tickLblPos val="nextTo"/>
        <c:crossAx val="2103173192"/>
        <c:crosses val="autoZero"/>
        <c:auto val="1"/>
        <c:lblAlgn val="ctr"/>
        <c:lblOffset val="100"/>
        <c:noMultiLvlLbl val="1"/>
      </c:catAx>
      <c:valAx>
        <c:axId val="2103173192"/>
        <c:scaling>
          <c:orientation val="minMax"/>
          <c:max val="3000.0"/>
        </c:scaling>
        <c:delete val="0"/>
        <c:axPos val="l"/>
        <c:title>
          <c:tx>
            <c:rich>
              <a:bodyPr rot="-5400000" vert="horz"/>
              <a:lstStyle/>
              <a:p>
                <a:pPr>
                  <a:defRPr sz="1200"/>
                </a:pPr>
                <a:r>
                  <a:rPr lang="en-US" sz="1200"/>
                  <a:t>biogas volume</a:t>
                </a:r>
                <a:r>
                  <a:rPr lang="en-US" sz="1200" baseline="0"/>
                  <a:t> (m3/day)</a:t>
                </a:r>
                <a:endParaRPr lang="en-US" sz="1200"/>
              </a:p>
            </c:rich>
          </c:tx>
          <c:layout/>
          <c:overlay val="0"/>
        </c:title>
        <c:numFmt formatCode="General" sourceLinked="1"/>
        <c:majorTickMark val="out"/>
        <c:minorTickMark val="none"/>
        <c:tickLblPos val="nextTo"/>
        <c:txPr>
          <a:bodyPr/>
          <a:lstStyle/>
          <a:p>
            <a:pPr>
              <a:defRPr sz="1200"/>
            </a:pPr>
            <a:endParaRPr lang="en-US"/>
          </a:p>
        </c:txPr>
        <c:crossAx val="2103170136"/>
        <c:crosses val="autoZero"/>
        <c:crossBetween val="between"/>
      </c:valAx>
      <c:valAx>
        <c:axId val="2103179144"/>
        <c:scaling>
          <c:orientation val="minMax"/>
          <c:max val="600.0"/>
          <c:min val="0.0"/>
        </c:scaling>
        <c:delete val="0"/>
        <c:axPos val="r"/>
        <c:title>
          <c:tx>
            <c:rich>
              <a:bodyPr rot="-5400000" vert="horz"/>
              <a:lstStyle/>
              <a:p>
                <a:pPr>
                  <a:defRPr sz="1200"/>
                </a:pPr>
                <a:r>
                  <a:rPr lang="en-US" sz="1200"/>
                  <a:t>methane (%), H2S</a:t>
                </a:r>
                <a:r>
                  <a:rPr lang="en-US" sz="1200" baseline="0"/>
                  <a:t> (ppm</a:t>
                </a:r>
                <a:endParaRPr lang="en-US" sz="1200"/>
              </a:p>
            </c:rich>
          </c:tx>
          <c:layout/>
          <c:overlay val="0"/>
        </c:title>
        <c:numFmt formatCode="0.0" sourceLinked="1"/>
        <c:majorTickMark val="out"/>
        <c:minorTickMark val="none"/>
        <c:tickLblPos val="nextTo"/>
        <c:txPr>
          <a:bodyPr/>
          <a:lstStyle/>
          <a:p>
            <a:pPr>
              <a:defRPr sz="1200"/>
            </a:pPr>
            <a:endParaRPr lang="en-US"/>
          </a:p>
        </c:txPr>
        <c:crossAx val="2103184840"/>
        <c:crosses val="max"/>
        <c:crossBetween val="midCat"/>
      </c:valAx>
      <c:valAx>
        <c:axId val="2103184840"/>
        <c:scaling>
          <c:orientation val="minMax"/>
        </c:scaling>
        <c:delete val="1"/>
        <c:axPos val="b"/>
        <c:numFmt formatCode="0" sourceLinked="1"/>
        <c:majorTickMark val="out"/>
        <c:minorTickMark val="none"/>
        <c:tickLblPos val="nextTo"/>
        <c:crossAx val="2103179144"/>
        <c:crosses val="autoZero"/>
        <c:crossBetween val="midCat"/>
      </c:valAx>
      <c:spPr>
        <a:noFill/>
        <a:ln>
          <a:noFill/>
        </a:ln>
      </c:spPr>
    </c:plotArea>
    <c:legend>
      <c:legendPos val="r"/>
      <c:layout>
        <c:manualLayout>
          <c:xMode val="edge"/>
          <c:yMode val="edge"/>
          <c:x val="0.789478769141587"/>
          <c:y val="0.366370303378669"/>
          <c:w val="0.188605671223612"/>
          <c:h val="0.160703780319213"/>
        </c:manualLayout>
      </c:layout>
      <c:overlay val="0"/>
      <c:txPr>
        <a:bodyPr/>
        <a:lstStyle/>
        <a:p>
          <a:pPr>
            <a:defRPr sz="1200"/>
          </a:pPr>
          <a:endParaRPr lang="en-US"/>
        </a:p>
      </c:txPr>
    </c:legend>
    <c:plotVisOnly val="1"/>
    <c:dispBlanksAs val="gap"/>
    <c:showDLblsOverMax val="0"/>
  </c:chart>
  <c:spPr>
    <a:noFill/>
    <a:ln>
      <a:noFill/>
    </a:ln>
  </c:spPr>
  <c:printSettings>
    <c:headerFooter/>
    <c:pageMargins b="1.0" l="0.75" r="0.75" t="1.0"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1"/>
          <c:order val="1"/>
          <c:spPr>
            <a:ln w="47625">
              <a:noFill/>
            </a:ln>
          </c:spPr>
          <c:invertIfNegative val="0"/>
          <c:val>
            <c:numRef>
              <c:f>'Sep''15'!$H$3:$H$32</c:f>
              <c:numCache>
                <c:formatCode>_(* #,##0_);_(* \(#,##0\);_(* "-"??_);_(@_)</c:formatCode>
                <c:ptCount val="30"/>
                <c:pt idx="0">
                  <c:v>4470.0</c:v>
                </c:pt>
                <c:pt idx="1">
                  <c:v>4745.0</c:v>
                </c:pt>
                <c:pt idx="2">
                  <c:v>4538.0</c:v>
                </c:pt>
                <c:pt idx="3">
                  <c:v>2383.0</c:v>
                </c:pt>
                <c:pt idx="4">
                  <c:v>777.0</c:v>
                </c:pt>
                <c:pt idx="5">
                  <c:v>4864.0</c:v>
                </c:pt>
                <c:pt idx="6">
                  <c:v>5491.0</c:v>
                </c:pt>
                <c:pt idx="7">
                  <c:v>5532.0</c:v>
                </c:pt>
                <c:pt idx="8">
                  <c:v>5383.0</c:v>
                </c:pt>
                <c:pt idx="10">
                  <c:v>2844.0</c:v>
                </c:pt>
                <c:pt idx="12">
                  <c:v>1526.0</c:v>
                </c:pt>
                <c:pt idx="13">
                  <c:v>0.0</c:v>
                </c:pt>
                <c:pt idx="14">
                  <c:v>0.0</c:v>
                </c:pt>
                <c:pt idx="15">
                  <c:v>0.0</c:v>
                </c:pt>
                <c:pt idx="16">
                  <c:v>0.0</c:v>
                </c:pt>
                <c:pt idx="17">
                  <c:v>0.0</c:v>
                </c:pt>
                <c:pt idx="18">
                  <c:v>3031.0</c:v>
                </c:pt>
                <c:pt idx="19">
                  <c:v>4397.0</c:v>
                </c:pt>
                <c:pt idx="20">
                  <c:v>4838.0</c:v>
                </c:pt>
                <c:pt idx="21">
                  <c:v>5043.0</c:v>
                </c:pt>
                <c:pt idx="22">
                  <c:v>4887.0</c:v>
                </c:pt>
                <c:pt idx="23">
                  <c:v>5334.0</c:v>
                </c:pt>
                <c:pt idx="24">
                  <c:v>5298.0</c:v>
                </c:pt>
                <c:pt idx="25">
                  <c:v>5624.0</c:v>
                </c:pt>
                <c:pt idx="26">
                  <c:v>6220.0</c:v>
                </c:pt>
                <c:pt idx="27">
                  <c:v>5546.0</c:v>
                </c:pt>
                <c:pt idx="28">
                  <c:v>5688.0</c:v>
                </c:pt>
                <c:pt idx="29">
                  <c:v>6140.0</c:v>
                </c:pt>
              </c:numCache>
            </c:numRef>
          </c:val>
        </c:ser>
        <c:dLbls>
          <c:showLegendKey val="0"/>
          <c:showVal val="0"/>
          <c:showCatName val="0"/>
          <c:showSerName val="0"/>
          <c:showPercent val="0"/>
          <c:showBubbleSize val="0"/>
        </c:dLbls>
        <c:gapWidth val="10"/>
        <c:axId val="2098272696"/>
        <c:axId val="2098277512"/>
      </c:barChart>
      <c:scatterChart>
        <c:scatterStyle val="lineMarker"/>
        <c:varyColors val="0"/>
        <c:ser>
          <c:idx val="0"/>
          <c:order val="0"/>
          <c:spPr>
            <a:ln w="47625">
              <a:noFill/>
            </a:ln>
          </c:spPr>
          <c:marker>
            <c:symbol val="circle"/>
            <c:size val="12"/>
            <c:spPr>
              <a:solidFill>
                <a:schemeClr val="bg1"/>
              </a:solidFill>
              <a:ln>
                <a:solidFill>
                  <a:srgbClr val="FF0000"/>
                </a:solidFill>
              </a:ln>
            </c:spPr>
          </c:marker>
          <c:yVal>
            <c:numRef>
              <c:f>'Sep''15'!$G$3:$G$32</c:f>
              <c:numCache>
                <c:formatCode>_(* #,##0_);_(* \(#,##0\);_(* "-"??_);_(@_)</c:formatCode>
                <c:ptCount val="30"/>
                <c:pt idx="0">
                  <c:v>604.3</c:v>
                </c:pt>
                <c:pt idx="1">
                  <c:v>617.9</c:v>
                </c:pt>
                <c:pt idx="2">
                  <c:v>510.7</c:v>
                </c:pt>
                <c:pt idx="3">
                  <c:v>650.7</c:v>
                </c:pt>
                <c:pt idx="4">
                  <c:v>599.7</c:v>
                </c:pt>
                <c:pt idx="5">
                  <c:v>647.4</c:v>
                </c:pt>
                <c:pt idx="6">
                  <c:v>636.7</c:v>
                </c:pt>
                <c:pt idx="7">
                  <c:v>532.0</c:v>
                </c:pt>
                <c:pt idx="8">
                  <c:v>597.3</c:v>
                </c:pt>
                <c:pt idx="10">
                  <c:v>631.7</c:v>
                </c:pt>
                <c:pt idx="12">
                  <c:v>603.8</c:v>
                </c:pt>
                <c:pt idx="13">
                  <c:v>528.1</c:v>
                </c:pt>
                <c:pt idx="14">
                  <c:v>627.4</c:v>
                </c:pt>
                <c:pt idx="15">
                  <c:v>662.1</c:v>
                </c:pt>
                <c:pt idx="16">
                  <c:v>618.9</c:v>
                </c:pt>
                <c:pt idx="17">
                  <c:v>687.6</c:v>
                </c:pt>
                <c:pt idx="18">
                  <c:v>642.4</c:v>
                </c:pt>
                <c:pt idx="19">
                  <c:v>620.4</c:v>
                </c:pt>
                <c:pt idx="20">
                  <c:v>640.8</c:v>
                </c:pt>
                <c:pt idx="21">
                  <c:v>638.3</c:v>
                </c:pt>
                <c:pt idx="22">
                  <c:v>655.3</c:v>
                </c:pt>
                <c:pt idx="23">
                  <c:v>596.3</c:v>
                </c:pt>
                <c:pt idx="24">
                  <c:v>600.4</c:v>
                </c:pt>
                <c:pt idx="25">
                  <c:v>546.3</c:v>
                </c:pt>
                <c:pt idx="26">
                  <c:v>596.8</c:v>
                </c:pt>
                <c:pt idx="27">
                  <c:v>513.3</c:v>
                </c:pt>
                <c:pt idx="28">
                  <c:v>554.2</c:v>
                </c:pt>
                <c:pt idx="29">
                  <c:v>687.4</c:v>
                </c:pt>
              </c:numCache>
            </c:numRef>
          </c:yVal>
          <c:smooth val="0"/>
        </c:ser>
        <c:dLbls>
          <c:showLegendKey val="0"/>
          <c:showVal val="0"/>
          <c:showCatName val="0"/>
          <c:showSerName val="0"/>
          <c:showPercent val="0"/>
          <c:showBubbleSize val="0"/>
        </c:dLbls>
        <c:axId val="2098272696"/>
        <c:axId val="2098277512"/>
      </c:scatterChart>
      <c:catAx>
        <c:axId val="2098272696"/>
        <c:scaling>
          <c:orientation val="minMax"/>
        </c:scaling>
        <c:delete val="0"/>
        <c:axPos val="b"/>
        <c:numFmt formatCode="0" sourceLinked="1"/>
        <c:majorTickMark val="out"/>
        <c:minorTickMark val="none"/>
        <c:tickLblPos val="nextTo"/>
        <c:crossAx val="2098277512"/>
        <c:crosses val="autoZero"/>
        <c:auto val="1"/>
        <c:lblAlgn val="ctr"/>
        <c:lblOffset val="100"/>
        <c:noMultiLvlLbl val="1"/>
      </c:catAx>
      <c:valAx>
        <c:axId val="2098277512"/>
        <c:scaling>
          <c:orientation val="minMax"/>
          <c:max val="9000.0"/>
        </c:scaling>
        <c:delete val="0"/>
        <c:axPos val="l"/>
        <c:title>
          <c:tx>
            <c:rich>
              <a:bodyPr rot="-5400000" vert="horz"/>
              <a:lstStyle/>
              <a:p>
                <a:pPr>
                  <a:defRPr sz="1200"/>
                </a:pPr>
                <a:r>
                  <a:rPr lang="en-US" sz="1200"/>
                  <a:t>electricity</a:t>
                </a:r>
                <a:r>
                  <a:rPr lang="en-US" sz="1200" baseline="0"/>
                  <a:t> (kWh/day)</a:t>
                </a:r>
                <a:endParaRPr lang="en-US" sz="1200"/>
              </a:p>
            </c:rich>
          </c:tx>
          <c:overlay val="0"/>
        </c:title>
        <c:numFmt formatCode="_(* #,##0_);_(* \(#,##0\);_(* &quot;-&quot;??_);_(@_)" sourceLinked="1"/>
        <c:majorTickMark val="out"/>
        <c:minorTickMark val="none"/>
        <c:tickLblPos val="nextTo"/>
        <c:txPr>
          <a:bodyPr/>
          <a:lstStyle/>
          <a:p>
            <a:pPr>
              <a:defRPr sz="1200"/>
            </a:pPr>
            <a:endParaRPr lang="en-US"/>
          </a:p>
        </c:txPr>
        <c:crossAx val="2098272696"/>
        <c:crosses val="autoZero"/>
        <c:crossBetween val="between"/>
      </c:valAx>
      <c:spPr>
        <a:noFill/>
        <a:ln>
          <a:noFill/>
        </a:ln>
      </c:spPr>
    </c:plotArea>
    <c:legend>
      <c:legendPos val="r"/>
      <c:layout>
        <c:manualLayout>
          <c:xMode val="edge"/>
          <c:yMode val="edge"/>
          <c:x val="0.76506328227396"/>
          <c:y val="0.362752590606079"/>
          <c:w val="0.230977398473221"/>
          <c:h val="0.181357671733435"/>
        </c:manualLayout>
      </c:layout>
      <c:overlay val="0"/>
      <c:txPr>
        <a:bodyPr/>
        <a:lstStyle/>
        <a:p>
          <a:pPr>
            <a:defRPr sz="1200"/>
          </a:pPr>
          <a:endParaRPr lang="en-US"/>
        </a:p>
      </c:txPr>
    </c:legend>
    <c:plotVisOnly val="1"/>
    <c:dispBlanksAs val="gap"/>
    <c:showDLblsOverMax val="0"/>
  </c:chart>
  <c:spPr>
    <a:noFill/>
    <a:ln>
      <a:noFill/>
    </a:ln>
  </c:spPr>
  <c:printSettings>
    <c:headerFooter/>
    <c:pageMargins b="1.0" l="0.75" r="0.75" t="1.0"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plotArea>
      <c:layout/>
      <c:scatterChart>
        <c:scatterStyle val="lineMarker"/>
        <c:varyColors val="0"/>
        <c:ser>
          <c:idx val="0"/>
          <c:order val="0"/>
          <c:tx>
            <c:strRef>
              <c:f>'Sep''15'!$N$2</c:f>
              <c:strCache>
                <c:ptCount val="1"/>
                <c:pt idx="0">
                  <c:v>AD Ripley ratio</c:v>
                </c:pt>
              </c:strCache>
            </c:strRef>
          </c:tx>
          <c:spPr>
            <a:ln w="47625">
              <a:noFill/>
            </a:ln>
          </c:spPr>
          <c:marker>
            <c:symbol val="square"/>
            <c:size val="9"/>
            <c:spPr>
              <a:solidFill>
                <a:schemeClr val="accent2"/>
              </a:solidFill>
              <a:ln>
                <a:solidFill>
                  <a:schemeClr val="accent2"/>
                </a:solidFill>
              </a:ln>
            </c:spPr>
          </c:marker>
          <c:xVal>
            <c:numRef>
              <c:f>'Sep''15'!$L$3:$L$32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xVal>
          <c:yVal>
            <c:numRef>
              <c:f>'Sep''15'!$N$3:$N$32</c:f>
              <c:numCache>
                <c:formatCode>0.00</c:formatCode>
                <c:ptCount val="30"/>
                <c:pt idx="6">
                  <c:v>0.61</c:v>
                </c:pt>
                <c:pt idx="11">
                  <c:v>0.623333333333333</c:v>
                </c:pt>
                <c:pt idx="15">
                  <c:v>0.5</c:v>
                </c:pt>
                <c:pt idx="21">
                  <c:v>0.63</c:v>
                </c:pt>
              </c:numCache>
            </c:numRef>
          </c:yVal>
          <c:smooth val="0"/>
        </c:ser>
        <c:dLbls>
          <c:showLegendKey val="0"/>
          <c:showVal val="0"/>
          <c:showCatName val="0"/>
          <c:showSerName val="0"/>
          <c:showPercent val="0"/>
          <c:showBubbleSize val="0"/>
        </c:dLbls>
        <c:axId val="2098227976"/>
        <c:axId val="2098225352"/>
      </c:scatterChart>
      <c:valAx>
        <c:axId val="2098227976"/>
        <c:scaling>
          <c:orientation val="minMax"/>
          <c:max val="30.0"/>
        </c:scaling>
        <c:delete val="0"/>
        <c:axPos val="b"/>
        <c:numFmt formatCode="0" sourceLinked="1"/>
        <c:majorTickMark val="out"/>
        <c:minorTickMark val="none"/>
        <c:tickLblPos val="nextTo"/>
        <c:crossAx val="2098225352"/>
        <c:crosses val="autoZero"/>
        <c:crossBetween val="midCat"/>
      </c:valAx>
      <c:valAx>
        <c:axId val="2098225352"/>
        <c:scaling>
          <c:orientation val="minMax"/>
          <c:max val="0.9"/>
        </c:scaling>
        <c:delete val="0"/>
        <c:axPos val="l"/>
        <c:title>
          <c:tx>
            <c:rich>
              <a:bodyPr rot="-5400000" vert="horz"/>
              <a:lstStyle/>
              <a:p>
                <a:pPr>
                  <a:defRPr sz="1200"/>
                </a:pPr>
                <a:r>
                  <a:rPr lang="en-US" sz="1200"/>
                  <a:t>Ripley ratio </a:t>
                </a:r>
              </a:p>
            </c:rich>
          </c:tx>
          <c:overlay val="0"/>
        </c:title>
        <c:numFmt formatCode="0.00" sourceLinked="1"/>
        <c:majorTickMark val="out"/>
        <c:minorTickMark val="none"/>
        <c:tickLblPos val="nextTo"/>
        <c:txPr>
          <a:bodyPr/>
          <a:lstStyle/>
          <a:p>
            <a:pPr>
              <a:defRPr sz="1200" b="1" i="0"/>
            </a:pPr>
            <a:endParaRPr lang="en-US"/>
          </a:p>
        </c:txPr>
        <c:crossAx val="2098227976"/>
        <c:crosses val="autoZero"/>
        <c:crossBetween val="midCat"/>
      </c:valAx>
      <c:spPr>
        <a:noFill/>
        <a:ln>
          <a:noFill/>
        </a:ln>
      </c:spPr>
    </c:plotArea>
    <c:legend>
      <c:legendPos val="r"/>
      <c:overlay val="0"/>
    </c:legend>
    <c:plotVisOnly val="1"/>
    <c:dispBlanksAs val="gap"/>
    <c:showDLblsOverMax val="0"/>
  </c:chart>
  <c:spPr>
    <a:noFill/>
    <a:ln>
      <a:noFill/>
    </a:ln>
  </c:spPr>
  <c:printSettings>
    <c:headerFooter/>
    <c:pageMargins b="1.0" l="0.75" r="0.75" t="1.0"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lineMarker"/>
        <c:varyColors val="0"/>
        <c:ser>
          <c:idx val="0"/>
          <c:order val="0"/>
          <c:tx>
            <c:strRef>
              <c:f>'Sep''15'!$J$2</c:f>
              <c:strCache>
                <c:ptCount val="1"/>
                <c:pt idx="0">
                  <c:v>Hydrolyzer pH</c:v>
                </c:pt>
              </c:strCache>
            </c:strRef>
          </c:tx>
          <c:spPr>
            <a:ln w="47625">
              <a:noFill/>
            </a:ln>
          </c:spPr>
          <c:marker>
            <c:symbol val="triangle"/>
            <c:size val="15"/>
            <c:spPr>
              <a:solidFill>
                <a:schemeClr val="bg1"/>
              </a:solidFill>
              <a:ln>
                <a:solidFill>
                  <a:srgbClr val="0000FF"/>
                </a:solidFill>
              </a:ln>
            </c:spPr>
          </c:marker>
          <c:xVal>
            <c:numRef>
              <c:f>'Sep''15'!$I$3:$I$32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xVal>
          <c:yVal>
            <c:numRef>
              <c:f>'Sep''15'!$J$3:$J$32</c:f>
              <c:numCache>
                <c:formatCode>0.00</c:formatCode>
                <c:ptCount val="30"/>
                <c:pt idx="0">
                  <c:v>4.9</c:v>
                </c:pt>
                <c:pt idx="1">
                  <c:v>4.83</c:v>
                </c:pt>
                <c:pt idx="2">
                  <c:v>4.88</c:v>
                </c:pt>
                <c:pt idx="3">
                  <c:v>4.769999999999999</c:v>
                </c:pt>
                <c:pt idx="4">
                  <c:v>4.769999999999999</c:v>
                </c:pt>
                <c:pt idx="5">
                  <c:v>4.8</c:v>
                </c:pt>
                <c:pt idx="6">
                  <c:v>5.04</c:v>
                </c:pt>
                <c:pt idx="7">
                  <c:v>4.93</c:v>
                </c:pt>
                <c:pt idx="10">
                  <c:v>4.73</c:v>
                </c:pt>
                <c:pt idx="11">
                  <c:v>4.88</c:v>
                </c:pt>
                <c:pt idx="12">
                  <c:v>4.92</c:v>
                </c:pt>
                <c:pt idx="13">
                  <c:v>4.88</c:v>
                </c:pt>
                <c:pt idx="14">
                  <c:v>4.92</c:v>
                </c:pt>
                <c:pt idx="15">
                  <c:v>4.87</c:v>
                </c:pt>
                <c:pt idx="16">
                  <c:v>4.92</c:v>
                </c:pt>
                <c:pt idx="17">
                  <c:v>5.06</c:v>
                </c:pt>
                <c:pt idx="18">
                  <c:v>5.02</c:v>
                </c:pt>
                <c:pt idx="19">
                  <c:v>5.15</c:v>
                </c:pt>
                <c:pt idx="20">
                  <c:v>5.08</c:v>
                </c:pt>
                <c:pt idx="21">
                  <c:v>5.16</c:v>
                </c:pt>
                <c:pt idx="22">
                  <c:v>5.13</c:v>
                </c:pt>
                <c:pt idx="24">
                  <c:v>5.14</c:v>
                </c:pt>
                <c:pt idx="25">
                  <c:v>4.98</c:v>
                </c:pt>
                <c:pt idx="26">
                  <c:v>4.98</c:v>
                </c:pt>
                <c:pt idx="27">
                  <c:v>4.97</c:v>
                </c:pt>
                <c:pt idx="28">
                  <c:v>4.99</c:v>
                </c:pt>
                <c:pt idx="29">
                  <c:v>5.02</c:v>
                </c:pt>
              </c:numCache>
            </c:numRef>
          </c:yVal>
          <c:smooth val="0"/>
        </c:ser>
        <c:ser>
          <c:idx val="1"/>
          <c:order val="1"/>
          <c:tx>
            <c:strRef>
              <c:f>'Sep''15'!$K$2</c:f>
              <c:strCache>
                <c:ptCount val="1"/>
                <c:pt idx="0">
                  <c:v>AD pH</c:v>
                </c:pt>
              </c:strCache>
            </c:strRef>
          </c:tx>
          <c:spPr>
            <a:ln w="25400">
              <a:noFill/>
            </a:ln>
          </c:spPr>
          <c:marker>
            <c:symbol val="triangle"/>
            <c:size val="15"/>
            <c:spPr>
              <a:solidFill>
                <a:srgbClr val="0000FF"/>
              </a:solidFill>
              <a:ln>
                <a:solidFill>
                  <a:srgbClr val="0000FF"/>
                </a:solidFill>
              </a:ln>
            </c:spPr>
          </c:marker>
          <c:xVal>
            <c:numRef>
              <c:f>'Sep''15'!$I$3:$I$32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xVal>
          <c:yVal>
            <c:numRef>
              <c:f>'Sep''15'!$K$3:$K$32</c:f>
              <c:numCache>
                <c:formatCode>0.00</c:formatCode>
                <c:ptCount val="30"/>
                <c:pt idx="0">
                  <c:v>7.27</c:v>
                </c:pt>
                <c:pt idx="1">
                  <c:v>7.28</c:v>
                </c:pt>
                <c:pt idx="2">
                  <c:v>7.25</c:v>
                </c:pt>
                <c:pt idx="3">
                  <c:v>7.28</c:v>
                </c:pt>
                <c:pt idx="4">
                  <c:v>7.23</c:v>
                </c:pt>
                <c:pt idx="5">
                  <c:v>7.22</c:v>
                </c:pt>
                <c:pt idx="6">
                  <c:v>7.15</c:v>
                </c:pt>
                <c:pt idx="7">
                  <c:v>7.18</c:v>
                </c:pt>
                <c:pt idx="10">
                  <c:v>7.12</c:v>
                </c:pt>
                <c:pt idx="11">
                  <c:v>7.4</c:v>
                </c:pt>
                <c:pt idx="12">
                  <c:v>7.08</c:v>
                </c:pt>
                <c:pt idx="13">
                  <c:v>7.12</c:v>
                </c:pt>
                <c:pt idx="14">
                  <c:v>7.13</c:v>
                </c:pt>
                <c:pt idx="16">
                  <c:v>7.11</c:v>
                </c:pt>
                <c:pt idx="17">
                  <c:v>7.12</c:v>
                </c:pt>
                <c:pt idx="18">
                  <c:v>7.09</c:v>
                </c:pt>
                <c:pt idx="19">
                  <c:v>7.01</c:v>
                </c:pt>
                <c:pt idx="21">
                  <c:v>6.98</c:v>
                </c:pt>
                <c:pt idx="22">
                  <c:v>7.06</c:v>
                </c:pt>
                <c:pt idx="24">
                  <c:v>6.92</c:v>
                </c:pt>
                <c:pt idx="25">
                  <c:v>7.04</c:v>
                </c:pt>
                <c:pt idx="26">
                  <c:v>7.0</c:v>
                </c:pt>
                <c:pt idx="28">
                  <c:v>6.98</c:v>
                </c:pt>
                <c:pt idx="29">
                  <c:v>7.21</c:v>
                </c:pt>
              </c:numCache>
            </c:numRef>
          </c:yVal>
          <c:smooth val="0"/>
        </c:ser>
        <c:dLbls>
          <c:showLegendKey val="0"/>
          <c:showVal val="0"/>
          <c:showCatName val="0"/>
          <c:showSerName val="0"/>
          <c:showPercent val="0"/>
          <c:showBubbleSize val="0"/>
        </c:dLbls>
        <c:axId val="2103221512"/>
        <c:axId val="2103227176"/>
      </c:scatterChart>
      <c:valAx>
        <c:axId val="2103221512"/>
        <c:scaling>
          <c:orientation val="minMax"/>
          <c:max val="30.0"/>
        </c:scaling>
        <c:delete val="0"/>
        <c:axPos val="b"/>
        <c:numFmt formatCode="0" sourceLinked="1"/>
        <c:majorTickMark val="out"/>
        <c:minorTickMark val="none"/>
        <c:tickLblPos val="nextTo"/>
        <c:txPr>
          <a:bodyPr/>
          <a:lstStyle/>
          <a:p>
            <a:pPr>
              <a:defRPr sz="1000" b="0" i="0"/>
            </a:pPr>
            <a:endParaRPr lang="en-US"/>
          </a:p>
        </c:txPr>
        <c:crossAx val="2103227176"/>
        <c:crosses val="autoZero"/>
        <c:crossBetween val="midCat"/>
      </c:valAx>
      <c:valAx>
        <c:axId val="2103227176"/>
        <c:scaling>
          <c:orientation val="minMax"/>
          <c:max val="8.0"/>
          <c:min val="4.0"/>
        </c:scaling>
        <c:delete val="0"/>
        <c:axPos val="l"/>
        <c:title>
          <c:tx>
            <c:rich>
              <a:bodyPr rot="-5400000" vert="horz"/>
              <a:lstStyle/>
              <a:p>
                <a:pPr>
                  <a:defRPr sz="1200"/>
                </a:pPr>
                <a:r>
                  <a:rPr lang="en-US" sz="1200"/>
                  <a:t>pH</a:t>
                </a:r>
              </a:p>
            </c:rich>
          </c:tx>
          <c:overlay val="0"/>
        </c:title>
        <c:numFmt formatCode="0.00" sourceLinked="1"/>
        <c:majorTickMark val="out"/>
        <c:minorTickMark val="none"/>
        <c:tickLblPos val="nextTo"/>
        <c:txPr>
          <a:bodyPr/>
          <a:lstStyle/>
          <a:p>
            <a:pPr>
              <a:defRPr sz="1200" b="1" i="0"/>
            </a:pPr>
            <a:endParaRPr lang="en-US"/>
          </a:p>
        </c:txPr>
        <c:crossAx val="2103221512"/>
        <c:crosses val="autoZero"/>
        <c:crossBetween val="midCat"/>
      </c:valAx>
      <c:spPr>
        <a:noFill/>
        <a:ln>
          <a:noFill/>
        </a:ln>
      </c:spPr>
    </c:plotArea>
    <c:legend>
      <c:legendPos val="r"/>
      <c:overlay val="0"/>
    </c:legend>
    <c:plotVisOnly val="1"/>
    <c:dispBlanksAs val="gap"/>
    <c:showDLblsOverMax val="0"/>
  </c:chart>
  <c:spPr>
    <a:noFill/>
    <a:ln>
      <a:noFill/>
    </a:ln>
  </c:spPr>
  <c:printSettings>
    <c:headerFooter/>
    <c:pageMargins b="1.0" l="0.75" r="0.75" t="1.0"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stacked"/>
        <c:varyColors val="0"/>
        <c:ser>
          <c:idx val="0"/>
          <c:order val="0"/>
          <c:tx>
            <c:strRef>
              <c:f>'Jun''15'!$O$2</c:f>
              <c:strCache>
                <c:ptCount val="1"/>
                <c:pt idx="0">
                  <c:v>Hydrolyzer TA (mg/L CaCO3)</c:v>
                </c:pt>
              </c:strCache>
            </c:strRef>
          </c:tx>
          <c:spPr>
            <a:ln w="47625">
              <a:noFill/>
            </a:ln>
          </c:spPr>
          <c:invertIfNegative val="0"/>
          <c:cat>
            <c:numRef>
              <c:f>'Jun''15'!$N$3:$N$32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cat>
          <c:val>
            <c:numRef>
              <c:f>'Jun''15'!$O$3:$O$32</c:f>
              <c:numCache>
                <c:formatCode>_(* #,##0_);_(* \(#,##0\);_(* "-"??_);_(@_)</c:formatCode>
                <c:ptCount val="30"/>
                <c:pt idx="3">
                  <c:v>2837.5</c:v>
                </c:pt>
                <c:pt idx="11">
                  <c:v>1766.666666666667</c:v>
                </c:pt>
                <c:pt idx="17">
                  <c:v>2225.0</c:v>
                </c:pt>
                <c:pt idx="25">
                  <c:v>2308.333333333333</c:v>
                </c:pt>
              </c:numCache>
            </c:numRef>
          </c:val>
        </c:ser>
        <c:ser>
          <c:idx val="3"/>
          <c:order val="2"/>
          <c:tx>
            <c:strRef>
              <c:f>'Jun''15'!$R$2</c:f>
              <c:strCache>
                <c:ptCount val="1"/>
                <c:pt idx="0">
                  <c:v>AD TA (mg/L CaCO3)</c:v>
                </c:pt>
              </c:strCache>
            </c:strRef>
          </c:tx>
          <c:spPr>
            <a:ln w="47625">
              <a:noFill/>
            </a:ln>
          </c:spPr>
          <c:invertIfNegative val="0"/>
          <c:cat>
            <c:numRef>
              <c:f>'Jun''15'!$N$3:$N$32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cat>
          <c:val>
            <c:numRef>
              <c:f>'Jun''15'!$R$3:$R$32</c:f>
              <c:numCache>
                <c:formatCode>_(* #,##0_);_(* \(#,##0\);_(* "-"??_);_(@_)</c:formatCode>
                <c:ptCount val="30"/>
                <c:pt idx="3">
                  <c:v>5725.0</c:v>
                </c:pt>
                <c:pt idx="11">
                  <c:v>5179.166666666666</c:v>
                </c:pt>
                <c:pt idx="17">
                  <c:v>5150.0</c:v>
                </c:pt>
                <c:pt idx="25">
                  <c:v>5441.666666666666</c:v>
                </c:pt>
                <c:pt idx="29">
                  <c:v>5433.333333333333</c:v>
                </c:pt>
              </c:numCache>
            </c:numRef>
          </c:val>
        </c:ser>
        <c:ser>
          <c:idx val="1"/>
          <c:order val="1"/>
          <c:tx>
            <c:strRef>
              <c:f>'Jun''15'!$P$2</c:f>
              <c:strCache>
                <c:ptCount val="1"/>
                <c:pt idx="0">
                  <c:v>hydrolyzer PA (mg/L CaCO3)</c:v>
                </c:pt>
              </c:strCache>
            </c:strRef>
          </c:tx>
          <c:spPr>
            <a:ln w="47625">
              <a:noFill/>
            </a:ln>
          </c:spPr>
          <c:invertIfNegative val="0"/>
          <c:val>
            <c:numRef>
              <c:f>'Jun''15'!$P$3:$P$32</c:f>
              <c:numCache>
                <c:formatCode>_(* #,##0_);_(* \(#,##0\);_(* "-"??_);_(@_)</c:formatCode>
                <c:ptCount val="30"/>
              </c:numCache>
            </c:numRef>
          </c:val>
        </c:ser>
        <c:ser>
          <c:idx val="4"/>
          <c:order val="3"/>
          <c:tx>
            <c:strRef>
              <c:f>'Jun''15'!$S$2</c:f>
              <c:strCache>
                <c:ptCount val="1"/>
                <c:pt idx="0">
                  <c:v>AD PA (mg/L CaCO3)</c:v>
                </c:pt>
              </c:strCache>
            </c:strRef>
          </c:tx>
          <c:spPr>
            <a:ln w="47625">
              <a:noFill/>
            </a:ln>
          </c:spPr>
          <c:invertIfNegative val="0"/>
          <c:val>
            <c:numRef>
              <c:f>'Jun''15'!$S$3:$S$32</c:f>
              <c:numCache>
                <c:formatCode>_(* #,##0_);_(* \(#,##0\);_(* "-"??_);_(@_)</c:formatCode>
                <c:ptCount val="30"/>
                <c:pt idx="3">
                  <c:v>2825.0</c:v>
                </c:pt>
                <c:pt idx="11">
                  <c:v>2650.0</c:v>
                </c:pt>
                <c:pt idx="17">
                  <c:v>2733.333333333333</c:v>
                </c:pt>
                <c:pt idx="25">
                  <c:v>2875.0</c:v>
                </c:pt>
                <c:pt idx="29">
                  <c:v>3008.333333333333</c:v>
                </c:pt>
              </c:numCache>
            </c:numRef>
          </c:val>
        </c:ser>
        <c:ser>
          <c:idx val="5"/>
          <c:order val="4"/>
          <c:tx>
            <c:strRef>
              <c:f>'Jun''15'!$T$2</c:f>
              <c:strCache>
                <c:ptCount val="1"/>
                <c:pt idx="0">
                  <c:v>AD IA (mg/L CaCO3)</c:v>
                </c:pt>
              </c:strCache>
            </c:strRef>
          </c:tx>
          <c:spPr>
            <a:ln w="47625">
              <a:noFill/>
            </a:ln>
          </c:spPr>
          <c:invertIfNegative val="0"/>
          <c:val>
            <c:numRef>
              <c:f>'Jun''15'!$T$3:$T$32</c:f>
              <c:numCache>
                <c:formatCode>_(* #,##0_);_(* \(#,##0\);_(* "-"??_);_(@_)</c:formatCode>
                <c:ptCount val="30"/>
                <c:pt idx="3">
                  <c:v>2416.666666666667</c:v>
                </c:pt>
                <c:pt idx="11">
                  <c:v>2108.333333333333</c:v>
                </c:pt>
                <c:pt idx="17">
                  <c:v>2000.0</c:v>
                </c:pt>
                <c:pt idx="25">
                  <c:v>2191.666666666667</c:v>
                </c:pt>
                <c:pt idx="29">
                  <c:v>1908.333333333333</c:v>
                </c:pt>
              </c:numCache>
            </c:numRef>
          </c:val>
        </c:ser>
        <c:dLbls>
          <c:showLegendKey val="0"/>
          <c:showVal val="0"/>
          <c:showCatName val="0"/>
          <c:showSerName val="0"/>
          <c:showPercent val="0"/>
          <c:showBubbleSize val="0"/>
        </c:dLbls>
        <c:gapWidth val="10"/>
        <c:overlap val="100"/>
        <c:axId val="2106954936"/>
        <c:axId val="2106951800"/>
      </c:barChart>
      <c:catAx>
        <c:axId val="2106954936"/>
        <c:scaling>
          <c:orientation val="minMax"/>
        </c:scaling>
        <c:delete val="0"/>
        <c:axPos val="b"/>
        <c:numFmt formatCode="0" sourceLinked="1"/>
        <c:majorTickMark val="out"/>
        <c:minorTickMark val="none"/>
        <c:tickLblPos val="nextTo"/>
        <c:crossAx val="2106951800"/>
        <c:crosses val="autoZero"/>
        <c:auto val="1"/>
        <c:lblAlgn val="ctr"/>
        <c:lblOffset val="100"/>
        <c:noMultiLvlLbl val="0"/>
      </c:catAx>
      <c:valAx>
        <c:axId val="2106951800"/>
        <c:scaling>
          <c:orientation val="minMax"/>
        </c:scaling>
        <c:delete val="0"/>
        <c:axPos val="l"/>
        <c:numFmt formatCode="_(* #,##0_);_(* \(#,##0\);_(* &quot;-&quot;??_);_(@_)" sourceLinked="1"/>
        <c:majorTickMark val="out"/>
        <c:minorTickMark val="none"/>
        <c:tickLblPos val="nextTo"/>
        <c:crossAx val="2106954936"/>
        <c:crosses val="autoZero"/>
        <c:crossBetween val="between"/>
      </c:valAx>
    </c:plotArea>
    <c:legend>
      <c:legendPos val="r"/>
      <c:overlay val="0"/>
    </c:legend>
    <c:plotVisOnly val="1"/>
    <c:dispBlanksAs val="gap"/>
    <c:showDLblsOverMax val="0"/>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lineMarker"/>
        <c:varyColors val="0"/>
        <c:ser>
          <c:idx val="0"/>
          <c:order val="0"/>
          <c:tx>
            <c:strRef>
              <c:f>'Jan''15'!$J$2</c:f>
              <c:strCache>
                <c:ptCount val="1"/>
                <c:pt idx="0">
                  <c:v>Hydrolyzer pH</c:v>
                </c:pt>
              </c:strCache>
            </c:strRef>
          </c:tx>
          <c:spPr>
            <a:ln w="47625">
              <a:noFill/>
            </a:ln>
          </c:spPr>
          <c:marker>
            <c:symbol val="triangle"/>
            <c:size val="15"/>
            <c:spPr>
              <a:solidFill>
                <a:schemeClr val="bg1"/>
              </a:solidFill>
              <a:ln>
                <a:solidFill>
                  <a:srgbClr val="0000FF"/>
                </a:solidFill>
              </a:ln>
            </c:spPr>
          </c:marker>
          <c:xVal>
            <c:numRef>
              <c:f>'Jan''15'!$I$3:$I$33</c:f>
              <c:numCache>
                <c:formatCode>0</c:formatCode>
                <c:ptCount val="31"/>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numCache>
            </c:numRef>
          </c:xVal>
          <c:yVal>
            <c:numRef>
              <c:f>'Jan''15'!$J$3:$J$33</c:f>
              <c:numCache>
                <c:formatCode>0.00</c:formatCode>
                <c:ptCount val="31"/>
                <c:pt idx="1">
                  <c:v>5.46</c:v>
                </c:pt>
                <c:pt idx="4">
                  <c:v>5.57</c:v>
                </c:pt>
                <c:pt idx="5">
                  <c:v>5.56</c:v>
                </c:pt>
                <c:pt idx="6">
                  <c:v>5.9</c:v>
                </c:pt>
                <c:pt idx="7">
                  <c:v>5.76</c:v>
                </c:pt>
                <c:pt idx="8">
                  <c:v>5.75</c:v>
                </c:pt>
                <c:pt idx="9">
                  <c:v>5.76</c:v>
                </c:pt>
                <c:pt idx="10">
                  <c:v>5.72</c:v>
                </c:pt>
                <c:pt idx="11">
                  <c:v>6.1</c:v>
                </c:pt>
                <c:pt idx="12">
                  <c:v>5.79</c:v>
                </c:pt>
                <c:pt idx="13">
                  <c:v>5.84</c:v>
                </c:pt>
                <c:pt idx="14">
                  <c:v>5.76</c:v>
                </c:pt>
                <c:pt idx="15">
                  <c:v>5.62</c:v>
                </c:pt>
                <c:pt idx="16">
                  <c:v>5.58</c:v>
                </c:pt>
                <c:pt idx="17">
                  <c:v>5.41</c:v>
                </c:pt>
                <c:pt idx="18">
                  <c:v>5.87</c:v>
                </c:pt>
                <c:pt idx="19">
                  <c:v>5.74</c:v>
                </c:pt>
                <c:pt idx="21">
                  <c:v>5.69</c:v>
                </c:pt>
                <c:pt idx="22">
                  <c:v>5.6</c:v>
                </c:pt>
                <c:pt idx="23">
                  <c:v>5.69</c:v>
                </c:pt>
                <c:pt idx="24">
                  <c:v>5.73</c:v>
                </c:pt>
                <c:pt idx="28">
                  <c:v>6.17</c:v>
                </c:pt>
              </c:numCache>
            </c:numRef>
          </c:yVal>
          <c:smooth val="0"/>
        </c:ser>
        <c:ser>
          <c:idx val="1"/>
          <c:order val="1"/>
          <c:tx>
            <c:strRef>
              <c:f>'Jan''15'!$K$2</c:f>
              <c:strCache>
                <c:ptCount val="1"/>
                <c:pt idx="0">
                  <c:v>AD pH</c:v>
                </c:pt>
              </c:strCache>
            </c:strRef>
          </c:tx>
          <c:spPr>
            <a:ln w="25400">
              <a:noFill/>
            </a:ln>
          </c:spPr>
          <c:marker>
            <c:symbol val="triangle"/>
            <c:size val="15"/>
            <c:spPr>
              <a:solidFill>
                <a:srgbClr val="0000FF"/>
              </a:solidFill>
              <a:ln>
                <a:solidFill>
                  <a:srgbClr val="0000FF"/>
                </a:solidFill>
              </a:ln>
            </c:spPr>
          </c:marker>
          <c:xVal>
            <c:numRef>
              <c:f>'Jan''15'!$I$3:$I$33</c:f>
              <c:numCache>
                <c:formatCode>0</c:formatCode>
                <c:ptCount val="31"/>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numCache>
            </c:numRef>
          </c:xVal>
          <c:yVal>
            <c:numRef>
              <c:f>'Jan''15'!$K$3:$K$33</c:f>
              <c:numCache>
                <c:formatCode>0.00</c:formatCode>
                <c:ptCount val="31"/>
                <c:pt idx="1">
                  <c:v>7.72</c:v>
                </c:pt>
                <c:pt idx="4">
                  <c:v>7.64</c:v>
                </c:pt>
                <c:pt idx="5">
                  <c:v>7.68</c:v>
                </c:pt>
                <c:pt idx="6">
                  <c:v>7.74</c:v>
                </c:pt>
                <c:pt idx="7">
                  <c:v>7.75</c:v>
                </c:pt>
                <c:pt idx="8">
                  <c:v>7.71</c:v>
                </c:pt>
                <c:pt idx="9">
                  <c:v>7.68</c:v>
                </c:pt>
                <c:pt idx="10">
                  <c:v>7.67</c:v>
                </c:pt>
                <c:pt idx="11">
                  <c:v>7.76</c:v>
                </c:pt>
                <c:pt idx="12">
                  <c:v>7.8</c:v>
                </c:pt>
                <c:pt idx="13">
                  <c:v>7.62</c:v>
                </c:pt>
                <c:pt idx="14">
                  <c:v>7.51</c:v>
                </c:pt>
                <c:pt idx="15">
                  <c:v>7.66</c:v>
                </c:pt>
                <c:pt idx="16">
                  <c:v>7.65</c:v>
                </c:pt>
                <c:pt idx="17">
                  <c:v>7.59</c:v>
                </c:pt>
                <c:pt idx="18">
                  <c:v>7.47</c:v>
                </c:pt>
                <c:pt idx="19">
                  <c:v>7.769999999999999</c:v>
                </c:pt>
                <c:pt idx="21">
                  <c:v>7.59</c:v>
                </c:pt>
                <c:pt idx="22">
                  <c:v>7.57</c:v>
                </c:pt>
                <c:pt idx="23">
                  <c:v>7.47</c:v>
                </c:pt>
                <c:pt idx="24">
                  <c:v>7.43</c:v>
                </c:pt>
                <c:pt idx="28">
                  <c:v>7.67</c:v>
                </c:pt>
                <c:pt idx="29">
                  <c:v>7.63</c:v>
                </c:pt>
              </c:numCache>
            </c:numRef>
          </c:yVal>
          <c:smooth val="0"/>
        </c:ser>
        <c:dLbls>
          <c:showLegendKey val="0"/>
          <c:showVal val="0"/>
          <c:showCatName val="0"/>
          <c:showSerName val="0"/>
          <c:showPercent val="0"/>
          <c:showBubbleSize val="0"/>
        </c:dLbls>
        <c:axId val="2105823336"/>
        <c:axId val="2105817816"/>
      </c:scatterChart>
      <c:valAx>
        <c:axId val="2105823336"/>
        <c:scaling>
          <c:orientation val="minMax"/>
          <c:max val="31.0"/>
          <c:min val="0.0"/>
        </c:scaling>
        <c:delete val="0"/>
        <c:axPos val="b"/>
        <c:numFmt formatCode="0" sourceLinked="1"/>
        <c:majorTickMark val="out"/>
        <c:minorTickMark val="none"/>
        <c:tickLblPos val="nextTo"/>
        <c:txPr>
          <a:bodyPr/>
          <a:lstStyle/>
          <a:p>
            <a:pPr>
              <a:defRPr sz="1000" b="0" i="0"/>
            </a:pPr>
            <a:endParaRPr lang="en-US"/>
          </a:p>
        </c:txPr>
        <c:crossAx val="2105817816"/>
        <c:crosses val="autoZero"/>
        <c:crossBetween val="midCat"/>
      </c:valAx>
      <c:valAx>
        <c:axId val="2105817816"/>
        <c:scaling>
          <c:orientation val="minMax"/>
          <c:max val="8.0"/>
          <c:min val="4.0"/>
        </c:scaling>
        <c:delete val="0"/>
        <c:axPos val="l"/>
        <c:title>
          <c:tx>
            <c:rich>
              <a:bodyPr rot="-5400000" vert="horz"/>
              <a:lstStyle/>
              <a:p>
                <a:pPr>
                  <a:defRPr sz="1200"/>
                </a:pPr>
                <a:r>
                  <a:rPr lang="en-US" sz="1200"/>
                  <a:t>pH</a:t>
                </a:r>
              </a:p>
            </c:rich>
          </c:tx>
          <c:overlay val="0"/>
        </c:title>
        <c:numFmt formatCode="0.00" sourceLinked="1"/>
        <c:majorTickMark val="out"/>
        <c:minorTickMark val="none"/>
        <c:tickLblPos val="nextTo"/>
        <c:txPr>
          <a:bodyPr/>
          <a:lstStyle/>
          <a:p>
            <a:pPr>
              <a:defRPr sz="1200" b="1" i="0"/>
            </a:pPr>
            <a:endParaRPr lang="en-US"/>
          </a:p>
        </c:txPr>
        <c:crossAx val="2105823336"/>
        <c:crosses val="autoZero"/>
        <c:crossBetween val="midCat"/>
      </c:valAx>
      <c:spPr>
        <a:noFill/>
        <a:ln>
          <a:noFill/>
        </a:ln>
      </c:spPr>
    </c:plotArea>
    <c:legend>
      <c:legendPos val="r"/>
      <c:layout>
        <c:manualLayout>
          <c:xMode val="edge"/>
          <c:yMode val="edge"/>
          <c:x val="0.698976323081566"/>
          <c:y val="0.689601458099478"/>
          <c:w val="0.107295453921918"/>
          <c:h val="0.155681784194197"/>
        </c:manualLayout>
      </c:layout>
      <c:overlay val="0"/>
    </c:legend>
    <c:plotVisOnly val="1"/>
    <c:dispBlanksAs val="gap"/>
    <c:showDLblsOverMax val="0"/>
  </c:chart>
  <c:spPr>
    <a:noFill/>
    <a:ln>
      <a:noFill/>
    </a:ln>
  </c:spPr>
  <c:printSettings>
    <c:headerFooter/>
    <c:pageMargins b="1.0" l="0.75" r="0.75" t="1.0" header="0.5" footer="0.5"/>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1"/>
          <c:order val="0"/>
          <c:tx>
            <c:strRef>
              <c:f>'Oct''15'!$C$2</c:f>
              <c:strCache>
                <c:ptCount val="1"/>
                <c:pt idx="0">
                  <c:v>biogas consumed (m3/day)</c:v>
                </c:pt>
              </c:strCache>
            </c:strRef>
          </c:tx>
          <c:spPr>
            <a:solidFill>
              <a:schemeClr val="accent1"/>
            </a:solidFill>
            <a:ln w="47625">
              <a:noFill/>
            </a:ln>
          </c:spPr>
          <c:invertIfNegative val="0"/>
          <c:val>
            <c:numRef>
              <c:f>'Oct''15'!$C$3:$C$33</c:f>
              <c:numCache>
                <c:formatCode>_(* #,##0_);_(* \(#,##0\);_(* "-"??_);_(@_)</c:formatCode>
                <c:ptCount val="31"/>
                <c:pt idx="0" formatCode="0">
                  <c:v>775.38</c:v>
                </c:pt>
                <c:pt idx="1">
                  <c:v>1885.89</c:v>
                </c:pt>
                <c:pt idx="2">
                  <c:v>1596.06</c:v>
                </c:pt>
                <c:pt idx="3">
                  <c:v>1508.72</c:v>
                </c:pt>
                <c:pt idx="4">
                  <c:v>1763.71</c:v>
                </c:pt>
                <c:pt idx="5">
                  <c:v>1892.72</c:v>
                </c:pt>
                <c:pt idx="6">
                  <c:v>1826.14</c:v>
                </c:pt>
                <c:pt idx="7">
                  <c:v>1433.291925469207</c:v>
                </c:pt>
                <c:pt idx="8">
                  <c:v>1476.848484848485</c:v>
                </c:pt>
                <c:pt idx="9">
                  <c:v>1379.520000003212</c:v>
                </c:pt>
                <c:pt idx="10">
                  <c:v>912.8571428572889</c:v>
                </c:pt>
                <c:pt idx="11">
                  <c:v>983.6241610722885</c:v>
                </c:pt>
                <c:pt idx="12">
                  <c:v>1432.926315785962</c:v>
                </c:pt>
                <c:pt idx="13">
                  <c:v>1457.765592872761</c:v>
                </c:pt>
                <c:pt idx="14">
                  <c:v>1316.914523977966</c:v>
                </c:pt>
                <c:pt idx="15">
                  <c:v>1285.506072873888</c:v>
                </c:pt>
                <c:pt idx="16">
                  <c:v>1419.280575534814</c:v>
                </c:pt>
                <c:pt idx="17">
                  <c:v>956.5102445491706</c:v>
                </c:pt>
                <c:pt idx="18">
                  <c:v>788.7386759613875</c:v>
                </c:pt>
                <c:pt idx="19">
                  <c:v>1003.86145909958</c:v>
                </c:pt>
                <c:pt idx="20">
                  <c:v>1312.767123285578</c:v>
                </c:pt>
                <c:pt idx="21">
                  <c:v>1328.436154952891</c:v>
                </c:pt>
                <c:pt idx="22">
                  <c:v>1242.788402218352</c:v>
                </c:pt>
                <c:pt idx="23">
                  <c:v>1213.508095610035</c:v>
                </c:pt>
                <c:pt idx="24">
                  <c:v>1336.352201255905</c:v>
                </c:pt>
                <c:pt idx="25">
                  <c:v>1124.940867275937</c:v>
                </c:pt>
                <c:pt idx="26">
                  <c:v>1246.704545454133</c:v>
                </c:pt>
                <c:pt idx="27">
                  <c:v>1534.967741935484</c:v>
                </c:pt>
                <c:pt idx="28">
                  <c:v>1727.800138801159</c:v>
                </c:pt>
                <c:pt idx="29">
                  <c:v>1796.118598374014</c:v>
                </c:pt>
                <c:pt idx="30">
                  <c:v>2055.46</c:v>
                </c:pt>
              </c:numCache>
            </c:numRef>
          </c:val>
        </c:ser>
        <c:dLbls>
          <c:showLegendKey val="0"/>
          <c:showVal val="0"/>
          <c:showCatName val="0"/>
          <c:showSerName val="0"/>
          <c:showPercent val="0"/>
          <c:showBubbleSize val="0"/>
        </c:dLbls>
        <c:gapWidth val="10"/>
        <c:axId val="2106892808"/>
        <c:axId val="2106887800"/>
      </c:barChart>
      <c:scatterChart>
        <c:scatterStyle val="lineMarker"/>
        <c:varyColors val="0"/>
        <c:ser>
          <c:idx val="2"/>
          <c:order val="1"/>
          <c:tx>
            <c:strRef>
              <c:f>'Oct''15'!$D$2</c:f>
              <c:strCache>
                <c:ptCount val="1"/>
                <c:pt idx="0">
                  <c:v>CH4 (%)</c:v>
                </c:pt>
              </c:strCache>
            </c:strRef>
          </c:tx>
          <c:spPr>
            <a:ln w="47625">
              <a:noFill/>
            </a:ln>
          </c:spPr>
          <c:marker>
            <c:symbol val="square"/>
            <c:size val="9"/>
            <c:spPr>
              <a:solidFill>
                <a:schemeClr val="bg1"/>
              </a:solidFill>
              <a:ln>
                <a:solidFill>
                  <a:srgbClr val="0000FF"/>
                </a:solidFill>
              </a:ln>
            </c:spPr>
          </c:marker>
          <c:dPt>
            <c:idx val="1"/>
            <c:marker>
              <c:spPr>
                <a:solidFill>
                  <a:schemeClr val="bg1"/>
                </a:solidFill>
                <a:ln w="19050" cmpd="sng">
                  <a:solidFill>
                    <a:srgbClr val="0000FF"/>
                  </a:solidFill>
                </a:ln>
              </c:spPr>
            </c:marker>
            <c:bubble3D val="0"/>
          </c:dPt>
          <c:yVal>
            <c:numRef>
              <c:f>'Oct''15'!$D$3:$D$33</c:f>
              <c:numCache>
                <c:formatCode>0.0</c:formatCode>
                <c:ptCount val="31"/>
                <c:pt idx="0">
                  <c:v>65.8</c:v>
                </c:pt>
                <c:pt idx="1">
                  <c:v>64.6</c:v>
                </c:pt>
                <c:pt idx="2">
                  <c:v>64.5</c:v>
                </c:pt>
                <c:pt idx="3">
                  <c:v>63.3</c:v>
                </c:pt>
                <c:pt idx="4">
                  <c:v>63.5</c:v>
                </c:pt>
                <c:pt idx="5">
                  <c:v>64.0</c:v>
                </c:pt>
                <c:pt idx="6">
                  <c:v>63.2</c:v>
                </c:pt>
                <c:pt idx="7">
                  <c:v>63.6</c:v>
                </c:pt>
                <c:pt idx="8">
                  <c:v>63.3</c:v>
                </c:pt>
                <c:pt idx="9">
                  <c:v>62.6</c:v>
                </c:pt>
                <c:pt idx="10">
                  <c:v>62.9</c:v>
                </c:pt>
                <c:pt idx="11">
                  <c:v>60.9</c:v>
                </c:pt>
                <c:pt idx="12">
                  <c:v>58.4</c:v>
                </c:pt>
                <c:pt idx="13">
                  <c:v>61.6</c:v>
                </c:pt>
                <c:pt idx="14">
                  <c:v>61.1</c:v>
                </c:pt>
                <c:pt idx="15">
                  <c:v>60.4</c:v>
                </c:pt>
                <c:pt idx="16">
                  <c:v>61.0</c:v>
                </c:pt>
                <c:pt idx="17">
                  <c:v>62.5</c:v>
                </c:pt>
                <c:pt idx="18">
                  <c:v>63.0</c:v>
                </c:pt>
                <c:pt idx="19">
                  <c:v>61.2</c:v>
                </c:pt>
                <c:pt idx="20">
                  <c:v>61.7</c:v>
                </c:pt>
                <c:pt idx="21">
                  <c:v>61.5</c:v>
                </c:pt>
                <c:pt idx="22">
                  <c:v>60.4</c:v>
                </c:pt>
                <c:pt idx="23">
                  <c:v>60.1</c:v>
                </c:pt>
                <c:pt idx="24">
                  <c:v>61.3</c:v>
                </c:pt>
                <c:pt idx="25">
                  <c:v>61.3</c:v>
                </c:pt>
                <c:pt idx="26">
                  <c:v>60.0</c:v>
                </c:pt>
                <c:pt idx="27">
                  <c:v>60.1</c:v>
                </c:pt>
                <c:pt idx="28">
                  <c:v>61.0</c:v>
                </c:pt>
                <c:pt idx="29">
                  <c:v>62.5</c:v>
                </c:pt>
                <c:pt idx="30">
                  <c:v>60.9</c:v>
                </c:pt>
              </c:numCache>
            </c:numRef>
          </c:yVal>
          <c:smooth val="0"/>
        </c:ser>
        <c:ser>
          <c:idx val="3"/>
          <c:order val="2"/>
          <c:tx>
            <c:strRef>
              <c:f>'Oct''15'!$E$2</c:f>
              <c:strCache>
                <c:ptCount val="1"/>
                <c:pt idx="0">
                  <c:v>H2S (ppm)</c:v>
                </c:pt>
              </c:strCache>
            </c:strRef>
          </c:tx>
          <c:spPr>
            <a:ln w="47625">
              <a:noFill/>
            </a:ln>
          </c:spPr>
          <c:marker>
            <c:symbol val="plus"/>
            <c:size val="9"/>
            <c:spPr>
              <a:noFill/>
              <a:ln w="12700">
                <a:solidFill>
                  <a:schemeClr val="tx1"/>
                </a:solidFill>
              </a:ln>
            </c:spPr>
          </c:marker>
          <c:yVal>
            <c:numRef>
              <c:f>'Oct''15'!$E$3:$E$33</c:f>
              <c:numCache>
                <c:formatCode>General</c:formatCode>
                <c:ptCount val="31"/>
                <c:pt idx="0">
                  <c:v>84.0</c:v>
                </c:pt>
                <c:pt idx="1">
                  <c:v>103.0</c:v>
                </c:pt>
                <c:pt idx="2">
                  <c:v>65.0</c:v>
                </c:pt>
                <c:pt idx="3">
                  <c:v>63.0</c:v>
                </c:pt>
                <c:pt idx="4">
                  <c:v>182.0</c:v>
                </c:pt>
                <c:pt idx="5">
                  <c:v>174.0</c:v>
                </c:pt>
                <c:pt idx="6">
                  <c:v>200.0</c:v>
                </c:pt>
                <c:pt idx="7">
                  <c:v>188.0</c:v>
                </c:pt>
                <c:pt idx="8">
                  <c:v>190.0</c:v>
                </c:pt>
                <c:pt idx="9">
                  <c:v>252.0</c:v>
                </c:pt>
                <c:pt idx="10">
                  <c:v>230.0</c:v>
                </c:pt>
                <c:pt idx="11">
                  <c:v>242.0</c:v>
                </c:pt>
                <c:pt idx="12">
                  <c:v>315.0</c:v>
                </c:pt>
                <c:pt idx="13">
                  <c:v>265.0</c:v>
                </c:pt>
                <c:pt idx="14">
                  <c:v>261.0</c:v>
                </c:pt>
                <c:pt idx="15">
                  <c:v>270.0</c:v>
                </c:pt>
                <c:pt idx="16">
                  <c:v>277.0</c:v>
                </c:pt>
                <c:pt idx="17">
                  <c:v>240.0</c:v>
                </c:pt>
                <c:pt idx="18">
                  <c:v>259.0</c:v>
                </c:pt>
                <c:pt idx="19">
                  <c:v>233.0</c:v>
                </c:pt>
                <c:pt idx="20">
                  <c:v>216.0</c:v>
                </c:pt>
                <c:pt idx="21">
                  <c:v>198.0</c:v>
                </c:pt>
                <c:pt idx="22">
                  <c:v>197.0</c:v>
                </c:pt>
                <c:pt idx="23">
                  <c:v>175.0</c:v>
                </c:pt>
                <c:pt idx="24">
                  <c:v>148.0</c:v>
                </c:pt>
                <c:pt idx="25">
                  <c:v>170.0</c:v>
                </c:pt>
                <c:pt idx="26">
                  <c:v>250.0</c:v>
                </c:pt>
                <c:pt idx="27">
                  <c:v>224.0</c:v>
                </c:pt>
                <c:pt idx="28">
                  <c:v>147.0</c:v>
                </c:pt>
                <c:pt idx="29">
                  <c:v>137.0</c:v>
                </c:pt>
                <c:pt idx="30" formatCode="0">
                  <c:v>140.0</c:v>
                </c:pt>
              </c:numCache>
            </c:numRef>
          </c:yVal>
          <c:smooth val="0"/>
        </c:ser>
        <c:dLbls>
          <c:showLegendKey val="0"/>
          <c:showVal val="0"/>
          <c:showCatName val="0"/>
          <c:showSerName val="0"/>
          <c:showPercent val="0"/>
          <c:showBubbleSize val="0"/>
        </c:dLbls>
        <c:axId val="2106878712"/>
        <c:axId val="2106881784"/>
      </c:scatterChart>
      <c:catAx>
        <c:axId val="2106892808"/>
        <c:scaling>
          <c:orientation val="minMax"/>
        </c:scaling>
        <c:delete val="0"/>
        <c:axPos val="b"/>
        <c:numFmt formatCode="0" sourceLinked="1"/>
        <c:majorTickMark val="out"/>
        <c:minorTickMark val="none"/>
        <c:tickLblPos val="nextTo"/>
        <c:crossAx val="2106887800"/>
        <c:crosses val="autoZero"/>
        <c:auto val="1"/>
        <c:lblAlgn val="ctr"/>
        <c:lblOffset val="100"/>
        <c:noMultiLvlLbl val="1"/>
      </c:catAx>
      <c:valAx>
        <c:axId val="2106887800"/>
        <c:scaling>
          <c:orientation val="minMax"/>
          <c:max val="3000.0"/>
        </c:scaling>
        <c:delete val="0"/>
        <c:axPos val="l"/>
        <c:title>
          <c:tx>
            <c:rich>
              <a:bodyPr rot="-5400000" vert="horz"/>
              <a:lstStyle/>
              <a:p>
                <a:pPr>
                  <a:defRPr sz="1200"/>
                </a:pPr>
                <a:r>
                  <a:rPr lang="en-US" sz="1200"/>
                  <a:t>biogas volume</a:t>
                </a:r>
                <a:r>
                  <a:rPr lang="en-US" sz="1200" baseline="0"/>
                  <a:t> (m3/day)</a:t>
                </a:r>
                <a:endParaRPr lang="en-US" sz="1200"/>
              </a:p>
            </c:rich>
          </c:tx>
          <c:layout/>
          <c:overlay val="0"/>
        </c:title>
        <c:numFmt formatCode="0" sourceLinked="1"/>
        <c:majorTickMark val="out"/>
        <c:minorTickMark val="none"/>
        <c:tickLblPos val="nextTo"/>
        <c:txPr>
          <a:bodyPr/>
          <a:lstStyle/>
          <a:p>
            <a:pPr>
              <a:defRPr sz="1200"/>
            </a:pPr>
            <a:endParaRPr lang="en-US"/>
          </a:p>
        </c:txPr>
        <c:crossAx val="2106892808"/>
        <c:crosses val="autoZero"/>
        <c:crossBetween val="between"/>
      </c:valAx>
      <c:valAx>
        <c:axId val="2106881784"/>
        <c:scaling>
          <c:orientation val="minMax"/>
          <c:max val="600.0"/>
        </c:scaling>
        <c:delete val="0"/>
        <c:axPos val="r"/>
        <c:numFmt formatCode="0.0" sourceLinked="1"/>
        <c:majorTickMark val="out"/>
        <c:minorTickMark val="none"/>
        <c:tickLblPos val="nextTo"/>
        <c:crossAx val="2106878712"/>
        <c:crosses val="max"/>
        <c:crossBetween val="midCat"/>
      </c:valAx>
      <c:valAx>
        <c:axId val="2106878712"/>
        <c:scaling>
          <c:orientation val="minMax"/>
        </c:scaling>
        <c:delete val="1"/>
        <c:axPos val="b"/>
        <c:majorTickMark val="out"/>
        <c:minorTickMark val="none"/>
        <c:tickLblPos val="nextTo"/>
        <c:crossAx val="2106881784"/>
        <c:crosses val="autoZero"/>
        <c:crossBetween val="midCat"/>
      </c:valAx>
      <c:spPr>
        <a:noFill/>
        <a:ln>
          <a:noFill/>
        </a:ln>
      </c:spPr>
    </c:plotArea>
    <c:legend>
      <c:legendPos val="r"/>
      <c:layout>
        <c:manualLayout>
          <c:xMode val="edge"/>
          <c:yMode val="edge"/>
          <c:x val="0.789478769141587"/>
          <c:y val="0.366370303378669"/>
          <c:w val="0.188605671223612"/>
          <c:h val="0.160703780319213"/>
        </c:manualLayout>
      </c:layout>
      <c:overlay val="0"/>
      <c:txPr>
        <a:bodyPr/>
        <a:lstStyle/>
        <a:p>
          <a:pPr>
            <a:defRPr sz="1200"/>
          </a:pPr>
          <a:endParaRPr lang="en-US"/>
        </a:p>
      </c:txPr>
    </c:legend>
    <c:plotVisOnly val="1"/>
    <c:dispBlanksAs val="gap"/>
    <c:showDLblsOverMax val="0"/>
  </c:chart>
  <c:spPr>
    <a:noFill/>
    <a:ln>
      <a:noFill/>
    </a:ln>
  </c:spPr>
  <c:printSettings>
    <c:headerFooter/>
    <c:pageMargins b="1.0" l="0.75" r="0.75" t="1.0"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0"/>
    </mc:Choice>
    <mc:Fallback>
      <c:style val="20"/>
    </mc:Fallback>
  </mc:AlternateContent>
  <c:chart>
    <c:autoTitleDeleted val="0"/>
    <c:plotArea>
      <c:layout/>
      <c:barChart>
        <c:barDir val="col"/>
        <c:grouping val="clustered"/>
        <c:varyColors val="0"/>
        <c:ser>
          <c:idx val="2"/>
          <c:order val="1"/>
          <c:tx>
            <c:strRef>
              <c:f>'Oct''15'!$H$2</c:f>
              <c:strCache>
                <c:ptCount val="1"/>
                <c:pt idx="0">
                  <c:v>electricity produced (kWh/day)</c:v>
                </c:pt>
              </c:strCache>
            </c:strRef>
          </c:tx>
          <c:spPr>
            <a:solidFill>
              <a:schemeClr val="accent2"/>
            </a:solidFill>
          </c:spPr>
          <c:invertIfNegative val="0"/>
          <c:val>
            <c:numRef>
              <c:f>'Oct''15'!$H$3:$H$33</c:f>
              <c:numCache>
                <c:formatCode>_(* #,##0_);_(* \(#,##0\);_(* "-"??_);_(@_)</c:formatCode>
                <c:ptCount val="31"/>
                <c:pt idx="0">
                  <c:v>2958.0</c:v>
                </c:pt>
                <c:pt idx="1">
                  <c:v>6233.0</c:v>
                </c:pt>
                <c:pt idx="2">
                  <c:v>6031.0</c:v>
                </c:pt>
                <c:pt idx="3">
                  <c:v>5764.0</c:v>
                </c:pt>
                <c:pt idx="4">
                  <c:v>6195.0</c:v>
                </c:pt>
                <c:pt idx="5">
                  <c:v>5744.0</c:v>
                </c:pt>
                <c:pt idx="6">
                  <c:v>5561.0</c:v>
                </c:pt>
                <c:pt idx="7">
                  <c:v>4842.111801253615</c:v>
                </c:pt>
                <c:pt idx="8">
                  <c:v>4706.909090909091</c:v>
                </c:pt>
                <c:pt idx="9">
                  <c:v>3916.80000000912</c:v>
                </c:pt>
                <c:pt idx="10">
                  <c:v>3404.175824176368</c:v>
                </c:pt>
                <c:pt idx="11">
                  <c:v>3052.885906035498</c:v>
                </c:pt>
                <c:pt idx="12">
                  <c:v>3351.91578946547</c:v>
                </c:pt>
                <c:pt idx="13">
                  <c:v>3124.770390680541</c:v>
                </c:pt>
                <c:pt idx="14">
                  <c:v>2963.057678950423</c:v>
                </c:pt>
                <c:pt idx="15">
                  <c:v>2874.170040484475</c:v>
                </c:pt>
                <c:pt idx="16">
                  <c:v>3086.158273370956</c:v>
                </c:pt>
                <c:pt idx="17">
                  <c:v>2779.11434237172</c:v>
                </c:pt>
                <c:pt idx="18">
                  <c:v>3044.571428583778</c:v>
                </c:pt>
                <c:pt idx="19">
                  <c:v>3415.887988204597</c:v>
                </c:pt>
                <c:pt idx="20">
                  <c:v>3191.671232871622</c:v>
                </c:pt>
                <c:pt idx="21">
                  <c:v>3374.806312776902</c:v>
                </c:pt>
                <c:pt idx="22">
                  <c:v>3007.032695860702</c:v>
                </c:pt>
                <c:pt idx="23">
                  <c:v>2958.828064776527</c:v>
                </c:pt>
                <c:pt idx="24">
                  <c:v>3337.861635215238</c:v>
                </c:pt>
                <c:pt idx="25">
                  <c:v>3143.968462538215</c:v>
                </c:pt>
                <c:pt idx="26">
                  <c:v>2992.49999999901</c:v>
                </c:pt>
                <c:pt idx="27">
                  <c:v>3577.806451612903</c:v>
                </c:pt>
                <c:pt idx="28">
                  <c:v>3759.38931299593</c:v>
                </c:pt>
                <c:pt idx="29">
                  <c:v>3795.040431248388</c:v>
                </c:pt>
                <c:pt idx="30">
                  <c:v>4477.0</c:v>
                </c:pt>
              </c:numCache>
            </c:numRef>
          </c:val>
        </c:ser>
        <c:dLbls>
          <c:showLegendKey val="0"/>
          <c:showVal val="0"/>
          <c:showCatName val="0"/>
          <c:showSerName val="0"/>
          <c:showPercent val="0"/>
          <c:showBubbleSize val="0"/>
        </c:dLbls>
        <c:gapWidth val="10"/>
        <c:axId val="2108213320"/>
        <c:axId val="2108228200"/>
      </c:barChart>
      <c:scatterChart>
        <c:scatterStyle val="lineMarker"/>
        <c:varyColors val="0"/>
        <c:ser>
          <c:idx val="1"/>
          <c:order val="0"/>
          <c:tx>
            <c:strRef>
              <c:f>'Oct''15'!$G$2</c:f>
              <c:strCache>
                <c:ptCount val="1"/>
                <c:pt idx="0">
                  <c:v>electricity consumed (kWh/day)</c:v>
                </c:pt>
              </c:strCache>
            </c:strRef>
          </c:tx>
          <c:spPr>
            <a:ln w="47625">
              <a:noFill/>
            </a:ln>
          </c:spPr>
          <c:marker>
            <c:symbol val="circle"/>
            <c:size val="12"/>
            <c:spPr>
              <a:solidFill>
                <a:schemeClr val="bg1"/>
              </a:solidFill>
              <a:ln>
                <a:solidFill>
                  <a:srgbClr val="FF0000"/>
                </a:solidFill>
              </a:ln>
            </c:spPr>
          </c:marker>
          <c:yVal>
            <c:numRef>
              <c:f>'Oct''15'!$G$3:$G$33</c:f>
              <c:numCache>
                <c:formatCode>_(* #,##0_);_(* \(#,##0\);_(* "-"??_);_(@_)</c:formatCode>
                <c:ptCount val="31"/>
                <c:pt idx="0">
                  <c:v>642.5</c:v>
                </c:pt>
                <c:pt idx="1">
                  <c:v>663.7</c:v>
                </c:pt>
                <c:pt idx="2">
                  <c:v>616.1</c:v>
                </c:pt>
                <c:pt idx="3">
                  <c:v>607.9</c:v>
                </c:pt>
                <c:pt idx="4">
                  <c:v>646.4</c:v>
                </c:pt>
                <c:pt idx="5">
                  <c:v>587.1</c:v>
                </c:pt>
                <c:pt idx="6">
                  <c:v>629.2</c:v>
                </c:pt>
                <c:pt idx="7">
                  <c:v>541.1180124236318</c:v>
                </c:pt>
                <c:pt idx="8">
                  <c:v>613.8181818181817</c:v>
                </c:pt>
                <c:pt idx="9">
                  <c:v>655.6800000015266</c:v>
                </c:pt>
                <c:pt idx="10">
                  <c:v>567.6923076923984</c:v>
                </c:pt>
                <c:pt idx="11">
                  <c:v>564.8322147642181</c:v>
                </c:pt>
                <c:pt idx="12">
                  <c:v>599.2421052616891</c:v>
                </c:pt>
                <c:pt idx="13">
                  <c:v>603.0431802608372</c:v>
                </c:pt>
                <c:pt idx="14">
                  <c:v>583.4051424613632</c:v>
                </c:pt>
                <c:pt idx="15">
                  <c:v>583.9676113357572</c:v>
                </c:pt>
                <c:pt idx="16">
                  <c:v>575.9999999980703</c:v>
                </c:pt>
                <c:pt idx="17">
                  <c:v>683.3575677475667</c:v>
                </c:pt>
                <c:pt idx="18">
                  <c:v>585.0313588873905</c:v>
                </c:pt>
                <c:pt idx="19">
                  <c:v>661.1053795127255</c:v>
                </c:pt>
                <c:pt idx="20">
                  <c:v>634.1917808209063</c:v>
                </c:pt>
                <c:pt idx="21">
                  <c:v>628.063127691569</c:v>
                </c:pt>
                <c:pt idx="22">
                  <c:v>702.6773596531212</c:v>
                </c:pt>
                <c:pt idx="23">
                  <c:v>564.009252122505</c:v>
                </c:pt>
                <c:pt idx="24">
                  <c:v>561.509433961442</c:v>
                </c:pt>
                <c:pt idx="25">
                  <c:v>574.2969776589517</c:v>
                </c:pt>
                <c:pt idx="26">
                  <c:v>639.204545454334</c:v>
                </c:pt>
                <c:pt idx="27">
                  <c:v>582.1935483870968</c:v>
                </c:pt>
                <c:pt idx="28">
                  <c:v>646.5510062489012</c:v>
                </c:pt>
                <c:pt idx="29">
                  <c:v>582.2102425847694</c:v>
                </c:pt>
                <c:pt idx="30">
                  <c:v>586.0</c:v>
                </c:pt>
              </c:numCache>
            </c:numRef>
          </c:yVal>
          <c:smooth val="0"/>
        </c:ser>
        <c:dLbls>
          <c:showLegendKey val="0"/>
          <c:showVal val="0"/>
          <c:showCatName val="0"/>
          <c:showSerName val="0"/>
          <c:showPercent val="0"/>
          <c:showBubbleSize val="0"/>
        </c:dLbls>
        <c:axId val="2108213320"/>
        <c:axId val="2108228200"/>
      </c:scatterChart>
      <c:catAx>
        <c:axId val="2108213320"/>
        <c:scaling>
          <c:orientation val="minMax"/>
        </c:scaling>
        <c:delete val="0"/>
        <c:axPos val="b"/>
        <c:numFmt formatCode="0" sourceLinked="1"/>
        <c:majorTickMark val="out"/>
        <c:minorTickMark val="none"/>
        <c:tickLblPos val="nextTo"/>
        <c:crossAx val="2108228200"/>
        <c:crosses val="autoZero"/>
        <c:auto val="1"/>
        <c:lblAlgn val="ctr"/>
        <c:lblOffset val="100"/>
        <c:noMultiLvlLbl val="1"/>
      </c:catAx>
      <c:valAx>
        <c:axId val="2108228200"/>
        <c:scaling>
          <c:orientation val="minMax"/>
          <c:max val="9000.0"/>
        </c:scaling>
        <c:delete val="0"/>
        <c:axPos val="l"/>
        <c:title>
          <c:tx>
            <c:rich>
              <a:bodyPr rot="-5400000" vert="horz"/>
              <a:lstStyle/>
              <a:p>
                <a:pPr>
                  <a:defRPr/>
                </a:pPr>
                <a:r>
                  <a:rPr lang="en-US"/>
                  <a:t>electricity (kWh/day)</a:t>
                </a:r>
              </a:p>
            </c:rich>
          </c:tx>
          <c:overlay val="0"/>
        </c:title>
        <c:numFmt formatCode="_(* #,##0_);_(* \(#,##0\);_(* &quot;-&quot;??_);_(@_)" sourceLinked="1"/>
        <c:majorTickMark val="out"/>
        <c:minorTickMark val="none"/>
        <c:tickLblPos val="nextTo"/>
        <c:crossAx val="2108213320"/>
        <c:crosses val="autoZero"/>
        <c:crossBetween val="between"/>
      </c:valAx>
      <c:spPr>
        <a:noFill/>
        <a:ln>
          <a:noFill/>
        </a:ln>
      </c:spPr>
    </c:plotArea>
    <c:legend>
      <c:legendPos val="r"/>
      <c:layout>
        <c:manualLayout>
          <c:xMode val="edge"/>
          <c:yMode val="edge"/>
          <c:x val="0.76506328227396"/>
          <c:y val="0.362752590606079"/>
          <c:w val="0.191560919749896"/>
          <c:h val="0.0984455398577198"/>
        </c:manualLayout>
      </c:layout>
      <c:overlay val="0"/>
    </c:legend>
    <c:plotVisOnly val="1"/>
    <c:dispBlanksAs val="gap"/>
    <c:showDLblsOverMax val="0"/>
  </c:chart>
  <c:spPr>
    <a:noFill/>
    <a:ln>
      <a:noFill/>
    </a:ln>
  </c:spPr>
  <c:printSettings>
    <c:headerFooter/>
    <c:pageMargins b="1.0" l="0.75" r="0.75" t="1.0"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lineMarker"/>
        <c:varyColors val="0"/>
        <c:ser>
          <c:idx val="0"/>
          <c:order val="0"/>
          <c:tx>
            <c:strRef>
              <c:f>'Oct''15'!$M$2</c:f>
              <c:strCache>
                <c:ptCount val="1"/>
                <c:pt idx="0">
                  <c:v>hydroylzer Ripley ratio</c:v>
                </c:pt>
              </c:strCache>
            </c:strRef>
          </c:tx>
          <c:spPr>
            <a:ln w="47625">
              <a:noFill/>
            </a:ln>
          </c:spPr>
          <c:xVal>
            <c:numRef>
              <c:f>'Oct''15'!$L$3:$L$33</c:f>
              <c:numCache>
                <c:formatCode>0</c:formatCode>
                <c:ptCount val="31"/>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numCache>
            </c:numRef>
          </c:xVal>
          <c:yVal>
            <c:numRef>
              <c:f>'Oct''15'!$M$3:$M$33</c:f>
              <c:numCache>
                <c:formatCode>0.00</c:formatCode>
                <c:ptCount val="31"/>
              </c:numCache>
            </c:numRef>
          </c:yVal>
          <c:smooth val="0"/>
        </c:ser>
        <c:ser>
          <c:idx val="1"/>
          <c:order val="1"/>
          <c:tx>
            <c:strRef>
              <c:f>'Oct''15'!$N$2</c:f>
              <c:strCache>
                <c:ptCount val="1"/>
                <c:pt idx="0">
                  <c:v>AD Ripley ratio</c:v>
                </c:pt>
              </c:strCache>
            </c:strRef>
          </c:tx>
          <c:spPr>
            <a:ln w="47625">
              <a:noFill/>
            </a:ln>
          </c:spPr>
          <c:xVal>
            <c:numRef>
              <c:f>'Oct''15'!$L$3:$L$33</c:f>
              <c:numCache>
                <c:formatCode>0</c:formatCode>
                <c:ptCount val="31"/>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numCache>
            </c:numRef>
          </c:xVal>
          <c:yVal>
            <c:numRef>
              <c:f>'Oct''15'!$N$3:$N$33</c:f>
              <c:numCache>
                <c:formatCode>0.00</c:formatCode>
                <c:ptCount val="31"/>
                <c:pt idx="0">
                  <c:v>0.550346051464064</c:v>
                </c:pt>
                <c:pt idx="8">
                  <c:v>0.527545035609552</c:v>
                </c:pt>
                <c:pt idx="15">
                  <c:v>0.465384615384615</c:v>
                </c:pt>
                <c:pt idx="26">
                  <c:v>0.43719806763285</c:v>
                </c:pt>
              </c:numCache>
            </c:numRef>
          </c:yVal>
          <c:smooth val="0"/>
        </c:ser>
        <c:dLbls>
          <c:showLegendKey val="0"/>
          <c:showVal val="0"/>
          <c:showCatName val="0"/>
          <c:showSerName val="0"/>
          <c:showPercent val="0"/>
          <c:showBubbleSize val="0"/>
        </c:dLbls>
        <c:axId val="2108273224"/>
        <c:axId val="2108276296"/>
      </c:scatterChart>
      <c:valAx>
        <c:axId val="2108273224"/>
        <c:scaling>
          <c:orientation val="minMax"/>
          <c:max val="30.0"/>
        </c:scaling>
        <c:delete val="0"/>
        <c:axPos val="b"/>
        <c:numFmt formatCode="0" sourceLinked="1"/>
        <c:majorTickMark val="out"/>
        <c:minorTickMark val="none"/>
        <c:tickLblPos val="nextTo"/>
        <c:crossAx val="2108276296"/>
        <c:crosses val="autoZero"/>
        <c:crossBetween val="midCat"/>
      </c:valAx>
      <c:valAx>
        <c:axId val="2108276296"/>
        <c:scaling>
          <c:orientation val="minMax"/>
          <c:max val="0.9"/>
        </c:scaling>
        <c:delete val="0"/>
        <c:axPos val="l"/>
        <c:title>
          <c:tx>
            <c:rich>
              <a:bodyPr rot="-5400000" vert="horz"/>
              <a:lstStyle/>
              <a:p>
                <a:pPr>
                  <a:defRPr sz="1200"/>
                </a:pPr>
                <a:r>
                  <a:rPr lang="en-US" sz="1200"/>
                  <a:t>Ripley ratio </a:t>
                </a:r>
              </a:p>
            </c:rich>
          </c:tx>
          <c:overlay val="0"/>
        </c:title>
        <c:numFmt formatCode="General" sourceLinked="1"/>
        <c:majorTickMark val="out"/>
        <c:minorTickMark val="none"/>
        <c:tickLblPos val="nextTo"/>
        <c:txPr>
          <a:bodyPr/>
          <a:lstStyle/>
          <a:p>
            <a:pPr>
              <a:defRPr sz="1200" b="1" i="0"/>
            </a:pPr>
            <a:endParaRPr lang="en-US"/>
          </a:p>
        </c:txPr>
        <c:crossAx val="2108273224"/>
        <c:crosses val="autoZero"/>
        <c:crossBetween val="midCat"/>
      </c:valAx>
      <c:spPr>
        <a:noFill/>
        <a:ln>
          <a:noFill/>
        </a:ln>
      </c:spPr>
    </c:plotArea>
    <c:legend>
      <c:legendPos val="r"/>
      <c:overlay val="0"/>
    </c:legend>
    <c:plotVisOnly val="1"/>
    <c:dispBlanksAs val="gap"/>
    <c:showDLblsOverMax val="0"/>
  </c:chart>
  <c:spPr>
    <a:noFill/>
    <a:ln>
      <a:noFill/>
    </a:ln>
  </c:spPr>
  <c:printSettings>
    <c:headerFooter/>
    <c:pageMargins b="1.0" l="0.75" r="0.75" t="1.0"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lineMarker"/>
        <c:varyColors val="0"/>
        <c:ser>
          <c:idx val="0"/>
          <c:order val="0"/>
          <c:tx>
            <c:strRef>
              <c:f>'Jun''15'!$I$2</c:f>
              <c:strCache>
                <c:ptCount val="1"/>
                <c:pt idx="0">
                  <c:v>Hydrolyzer pH</c:v>
                </c:pt>
              </c:strCache>
            </c:strRef>
          </c:tx>
          <c:spPr>
            <a:ln w="47625">
              <a:noFill/>
            </a:ln>
          </c:spPr>
          <c:marker>
            <c:symbol val="triangle"/>
            <c:size val="15"/>
            <c:spPr>
              <a:solidFill>
                <a:schemeClr val="bg1"/>
              </a:solidFill>
              <a:ln>
                <a:solidFill>
                  <a:srgbClr val="0000FF"/>
                </a:solidFill>
              </a:ln>
            </c:spPr>
          </c:marker>
          <c:xVal>
            <c:numRef>
              <c:f>'Jun''15'!$H$3:$H$32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xVal>
          <c:yVal>
            <c:numRef>
              <c:f>'Jun''15'!$I$3:$I$32</c:f>
              <c:numCache>
                <c:formatCode>0.00</c:formatCode>
                <c:ptCount val="30"/>
                <c:pt idx="0">
                  <c:v>5.35</c:v>
                </c:pt>
                <c:pt idx="3">
                  <c:v>5.15</c:v>
                </c:pt>
                <c:pt idx="7">
                  <c:v>5.34</c:v>
                </c:pt>
                <c:pt idx="8">
                  <c:v>5.08</c:v>
                </c:pt>
                <c:pt idx="10">
                  <c:v>4.97</c:v>
                </c:pt>
                <c:pt idx="11">
                  <c:v>4.88</c:v>
                </c:pt>
                <c:pt idx="15">
                  <c:v>5.16</c:v>
                </c:pt>
                <c:pt idx="16">
                  <c:v>5.1</c:v>
                </c:pt>
                <c:pt idx="17">
                  <c:v>5.2</c:v>
                </c:pt>
                <c:pt idx="18">
                  <c:v>5.2</c:v>
                </c:pt>
                <c:pt idx="19">
                  <c:v>5.16</c:v>
                </c:pt>
                <c:pt idx="20">
                  <c:v>5.15</c:v>
                </c:pt>
                <c:pt idx="21">
                  <c:v>5.25</c:v>
                </c:pt>
                <c:pt idx="22">
                  <c:v>5.42</c:v>
                </c:pt>
                <c:pt idx="23">
                  <c:v>5.29</c:v>
                </c:pt>
                <c:pt idx="24">
                  <c:v>5.27</c:v>
                </c:pt>
                <c:pt idx="25">
                  <c:v>5.12</c:v>
                </c:pt>
                <c:pt idx="26">
                  <c:v>5.15</c:v>
                </c:pt>
                <c:pt idx="27">
                  <c:v>5.23</c:v>
                </c:pt>
                <c:pt idx="28" formatCode="General">
                  <c:v>5.41</c:v>
                </c:pt>
                <c:pt idx="29" formatCode="General">
                  <c:v>5.53</c:v>
                </c:pt>
              </c:numCache>
            </c:numRef>
          </c:yVal>
          <c:smooth val="0"/>
        </c:ser>
        <c:ser>
          <c:idx val="1"/>
          <c:order val="1"/>
          <c:tx>
            <c:strRef>
              <c:f>'Jun''15'!$J$2</c:f>
              <c:strCache>
                <c:ptCount val="1"/>
                <c:pt idx="0">
                  <c:v>AD pH</c:v>
                </c:pt>
              </c:strCache>
            </c:strRef>
          </c:tx>
          <c:spPr>
            <a:ln w="25400">
              <a:noFill/>
            </a:ln>
          </c:spPr>
          <c:marker>
            <c:symbol val="triangle"/>
            <c:size val="15"/>
            <c:spPr>
              <a:solidFill>
                <a:srgbClr val="0000FF"/>
              </a:solidFill>
              <a:ln>
                <a:solidFill>
                  <a:srgbClr val="0000FF"/>
                </a:solidFill>
              </a:ln>
            </c:spPr>
          </c:marker>
          <c:xVal>
            <c:numRef>
              <c:f>'Jun''15'!$H$3:$H$32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xVal>
          <c:yVal>
            <c:numRef>
              <c:f>'Jun''15'!$J$3:$J$32</c:f>
              <c:numCache>
                <c:formatCode>General</c:formatCode>
                <c:ptCount val="30"/>
                <c:pt idx="0">
                  <c:v>7.02</c:v>
                </c:pt>
                <c:pt idx="3">
                  <c:v>7.02</c:v>
                </c:pt>
                <c:pt idx="7">
                  <c:v>7.09</c:v>
                </c:pt>
                <c:pt idx="8">
                  <c:v>7.06</c:v>
                </c:pt>
                <c:pt idx="10">
                  <c:v>7.04</c:v>
                </c:pt>
                <c:pt idx="11">
                  <c:v>7.11</c:v>
                </c:pt>
                <c:pt idx="15">
                  <c:v>7.09</c:v>
                </c:pt>
                <c:pt idx="16">
                  <c:v>7.1</c:v>
                </c:pt>
                <c:pt idx="17">
                  <c:v>7.16</c:v>
                </c:pt>
                <c:pt idx="18">
                  <c:v>7.14</c:v>
                </c:pt>
                <c:pt idx="19">
                  <c:v>7.13</c:v>
                </c:pt>
                <c:pt idx="20">
                  <c:v>7.11</c:v>
                </c:pt>
                <c:pt idx="21">
                  <c:v>7.16</c:v>
                </c:pt>
                <c:pt idx="22">
                  <c:v>7.12</c:v>
                </c:pt>
                <c:pt idx="23">
                  <c:v>7.12</c:v>
                </c:pt>
                <c:pt idx="24">
                  <c:v>7.18</c:v>
                </c:pt>
                <c:pt idx="25">
                  <c:v>7.21</c:v>
                </c:pt>
                <c:pt idx="26">
                  <c:v>7.2</c:v>
                </c:pt>
                <c:pt idx="27">
                  <c:v>7.15</c:v>
                </c:pt>
                <c:pt idx="28">
                  <c:v>7.19</c:v>
                </c:pt>
                <c:pt idx="29">
                  <c:v>7.18</c:v>
                </c:pt>
              </c:numCache>
            </c:numRef>
          </c:yVal>
          <c:smooth val="0"/>
        </c:ser>
        <c:dLbls>
          <c:showLegendKey val="0"/>
          <c:showVal val="0"/>
          <c:showCatName val="0"/>
          <c:showSerName val="0"/>
          <c:showPercent val="0"/>
          <c:showBubbleSize val="0"/>
        </c:dLbls>
        <c:axId val="2108311896"/>
        <c:axId val="2108317608"/>
      </c:scatterChart>
      <c:valAx>
        <c:axId val="2108311896"/>
        <c:scaling>
          <c:orientation val="minMax"/>
          <c:max val="30.0"/>
        </c:scaling>
        <c:delete val="0"/>
        <c:axPos val="b"/>
        <c:numFmt formatCode="0" sourceLinked="1"/>
        <c:majorTickMark val="out"/>
        <c:minorTickMark val="none"/>
        <c:tickLblPos val="nextTo"/>
        <c:txPr>
          <a:bodyPr/>
          <a:lstStyle/>
          <a:p>
            <a:pPr>
              <a:defRPr sz="1000" b="0" i="0"/>
            </a:pPr>
            <a:endParaRPr lang="en-US"/>
          </a:p>
        </c:txPr>
        <c:crossAx val="2108317608"/>
        <c:crosses val="autoZero"/>
        <c:crossBetween val="midCat"/>
      </c:valAx>
      <c:valAx>
        <c:axId val="2108317608"/>
        <c:scaling>
          <c:orientation val="minMax"/>
          <c:max val="8.0"/>
          <c:min val="4.0"/>
        </c:scaling>
        <c:delete val="0"/>
        <c:axPos val="l"/>
        <c:title>
          <c:tx>
            <c:rich>
              <a:bodyPr rot="-5400000" vert="horz"/>
              <a:lstStyle/>
              <a:p>
                <a:pPr>
                  <a:defRPr sz="1200"/>
                </a:pPr>
                <a:r>
                  <a:rPr lang="en-US" sz="1200"/>
                  <a:t>pH</a:t>
                </a:r>
              </a:p>
            </c:rich>
          </c:tx>
          <c:overlay val="0"/>
        </c:title>
        <c:numFmt formatCode="0.00" sourceLinked="1"/>
        <c:majorTickMark val="out"/>
        <c:minorTickMark val="none"/>
        <c:tickLblPos val="nextTo"/>
        <c:txPr>
          <a:bodyPr/>
          <a:lstStyle/>
          <a:p>
            <a:pPr>
              <a:defRPr sz="1200" b="1" i="0"/>
            </a:pPr>
            <a:endParaRPr lang="en-US"/>
          </a:p>
        </c:txPr>
        <c:crossAx val="2108311896"/>
        <c:crosses val="autoZero"/>
        <c:crossBetween val="midCat"/>
      </c:valAx>
      <c:spPr>
        <a:noFill/>
        <a:ln>
          <a:noFill/>
        </a:ln>
      </c:spPr>
    </c:plotArea>
    <c:legend>
      <c:legendPos val="r"/>
      <c:overlay val="0"/>
    </c:legend>
    <c:plotVisOnly val="1"/>
    <c:dispBlanksAs val="gap"/>
    <c:showDLblsOverMax val="0"/>
  </c:chart>
  <c:spPr>
    <a:noFill/>
    <a:ln>
      <a:noFill/>
    </a:ln>
  </c:spPr>
  <c:printSettings>
    <c:headerFooter/>
    <c:pageMargins b="1.0" l="0.75" r="0.75" t="1.0"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stacked"/>
        <c:varyColors val="0"/>
        <c:ser>
          <c:idx val="0"/>
          <c:order val="0"/>
          <c:tx>
            <c:strRef>
              <c:f>'Jun''15'!$O$2</c:f>
              <c:strCache>
                <c:ptCount val="1"/>
                <c:pt idx="0">
                  <c:v>Hydrolyzer TA (mg/L CaCO3)</c:v>
                </c:pt>
              </c:strCache>
            </c:strRef>
          </c:tx>
          <c:spPr>
            <a:ln w="47625">
              <a:noFill/>
            </a:ln>
          </c:spPr>
          <c:invertIfNegative val="0"/>
          <c:cat>
            <c:numRef>
              <c:f>'Jun''15'!$N$3:$N$32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cat>
          <c:val>
            <c:numRef>
              <c:f>'Jun''15'!$O$3:$O$32</c:f>
              <c:numCache>
                <c:formatCode>_(* #,##0_);_(* \(#,##0\);_(* "-"??_);_(@_)</c:formatCode>
                <c:ptCount val="30"/>
                <c:pt idx="3">
                  <c:v>2837.5</c:v>
                </c:pt>
                <c:pt idx="11">
                  <c:v>1766.666666666667</c:v>
                </c:pt>
                <c:pt idx="17">
                  <c:v>2225.0</c:v>
                </c:pt>
                <c:pt idx="25">
                  <c:v>2308.333333333333</c:v>
                </c:pt>
              </c:numCache>
            </c:numRef>
          </c:val>
        </c:ser>
        <c:ser>
          <c:idx val="3"/>
          <c:order val="2"/>
          <c:tx>
            <c:strRef>
              <c:f>'Jun''15'!$R$2</c:f>
              <c:strCache>
                <c:ptCount val="1"/>
                <c:pt idx="0">
                  <c:v>AD TA (mg/L CaCO3)</c:v>
                </c:pt>
              </c:strCache>
            </c:strRef>
          </c:tx>
          <c:spPr>
            <a:ln w="47625">
              <a:noFill/>
            </a:ln>
          </c:spPr>
          <c:invertIfNegative val="0"/>
          <c:cat>
            <c:numRef>
              <c:f>'Jun''15'!$N$3:$N$32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cat>
          <c:val>
            <c:numRef>
              <c:f>'Jun''15'!$R$3:$R$32</c:f>
              <c:numCache>
                <c:formatCode>_(* #,##0_);_(* \(#,##0\);_(* "-"??_);_(@_)</c:formatCode>
                <c:ptCount val="30"/>
                <c:pt idx="3">
                  <c:v>5725.0</c:v>
                </c:pt>
                <c:pt idx="11">
                  <c:v>5179.166666666666</c:v>
                </c:pt>
                <c:pt idx="17">
                  <c:v>5150.0</c:v>
                </c:pt>
                <c:pt idx="25">
                  <c:v>5441.666666666666</c:v>
                </c:pt>
                <c:pt idx="29">
                  <c:v>5433.333333333333</c:v>
                </c:pt>
              </c:numCache>
            </c:numRef>
          </c:val>
        </c:ser>
        <c:ser>
          <c:idx val="1"/>
          <c:order val="1"/>
          <c:tx>
            <c:strRef>
              <c:f>'Jun''15'!$P$2</c:f>
              <c:strCache>
                <c:ptCount val="1"/>
                <c:pt idx="0">
                  <c:v>hydrolyzer PA (mg/L CaCO3)</c:v>
                </c:pt>
              </c:strCache>
            </c:strRef>
          </c:tx>
          <c:spPr>
            <a:ln w="47625">
              <a:noFill/>
            </a:ln>
          </c:spPr>
          <c:invertIfNegative val="0"/>
          <c:val>
            <c:numRef>
              <c:f>'Jun''15'!$P$3:$P$32</c:f>
              <c:numCache>
                <c:formatCode>_(* #,##0_);_(* \(#,##0\);_(* "-"??_);_(@_)</c:formatCode>
                <c:ptCount val="30"/>
              </c:numCache>
            </c:numRef>
          </c:val>
        </c:ser>
        <c:ser>
          <c:idx val="4"/>
          <c:order val="3"/>
          <c:tx>
            <c:strRef>
              <c:f>'Jun''15'!$S$2</c:f>
              <c:strCache>
                <c:ptCount val="1"/>
                <c:pt idx="0">
                  <c:v>AD PA (mg/L CaCO3)</c:v>
                </c:pt>
              </c:strCache>
            </c:strRef>
          </c:tx>
          <c:spPr>
            <a:ln w="47625">
              <a:noFill/>
            </a:ln>
          </c:spPr>
          <c:invertIfNegative val="0"/>
          <c:val>
            <c:numRef>
              <c:f>'Jun''15'!$S$3:$S$32</c:f>
              <c:numCache>
                <c:formatCode>_(* #,##0_);_(* \(#,##0\);_(* "-"??_);_(@_)</c:formatCode>
                <c:ptCount val="30"/>
                <c:pt idx="3">
                  <c:v>2825.0</c:v>
                </c:pt>
                <c:pt idx="11">
                  <c:v>2650.0</c:v>
                </c:pt>
                <c:pt idx="17">
                  <c:v>2733.333333333333</c:v>
                </c:pt>
                <c:pt idx="25">
                  <c:v>2875.0</c:v>
                </c:pt>
                <c:pt idx="29">
                  <c:v>3008.333333333333</c:v>
                </c:pt>
              </c:numCache>
            </c:numRef>
          </c:val>
        </c:ser>
        <c:ser>
          <c:idx val="5"/>
          <c:order val="4"/>
          <c:tx>
            <c:strRef>
              <c:f>'Jun''15'!$T$2</c:f>
              <c:strCache>
                <c:ptCount val="1"/>
                <c:pt idx="0">
                  <c:v>AD IA (mg/L CaCO3)</c:v>
                </c:pt>
              </c:strCache>
            </c:strRef>
          </c:tx>
          <c:spPr>
            <a:ln w="47625">
              <a:noFill/>
            </a:ln>
          </c:spPr>
          <c:invertIfNegative val="0"/>
          <c:val>
            <c:numRef>
              <c:f>'Jun''15'!$T$3:$T$32</c:f>
              <c:numCache>
                <c:formatCode>_(* #,##0_);_(* \(#,##0\);_(* "-"??_);_(@_)</c:formatCode>
                <c:ptCount val="30"/>
                <c:pt idx="3">
                  <c:v>2416.666666666667</c:v>
                </c:pt>
                <c:pt idx="11">
                  <c:v>2108.333333333333</c:v>
                </c:pt>
                <c:pt idx="17">
                  <c:v>2000.0</c:v>
                </c:pt>
                <c:pt idx="25">
                  <c:v>2191.666666666667</c:v>
                </c:pt>
                <c:pt idx="29">
                  <c:v>1908.333333333333</c:v>
                </c:pt>
              </c:numCache>
            </c:numRef>
          </c:val>
        </c:ser>
        <c:dLbls>
          <c:showLegendKey val="0"/>
          <c:showVal val="0"/>
          <c:showCatName val="0"/>
          <c:showSerName val="0"/>
          <c:showPercent val="0"/>
          <c:showBubbleSize val="0"/>
        </c:dLbls>
        <c:gapWidth val="10"/>
        <c:overlap val="100"/>
        <c:axId val="2108361128"/>
        <c:axId val="2108364248"/>
      </c:barChart>
      <c:catAx>
        <c:axId val="2108361128"/>
        <c:scaling>
          <c:orientation val="minMax"/>
        </c:scaling>
        <c:delete val="0"/>
        <c:axPos val="b"/>
        <c:numFmt formatCode="0" sourceLinked="1"/>
        <c:majorTickMark val="out"/>
        <c:minorTickMark val="none"/>
        <c:tickLblPos val="nextTo"/>
        <c:crossAx val="2108364248"/>
        <c:crosses val="autoZero"/>
        <c:auto val="1"/>
        <c:lblAlgn val="ctr"/>
        <c:lblOffset val="100"/>
        <c:noMultiLvlLbl val="0"/>
      </c:catAx>
      <c:valAx>
        <c:axId val="2108364248"/>
        <c:scaling>
          <c:orientation val="minMax"/>
        </c:scaling>
        <c:delete val="0"/>
        <c:axPos val="l"/>
        <c:numFmt formatCode="_(* #,##0_);_(* \(#,##0\);_(* &quot;-&quot;??_);_(@_)" sourceLinked="1"/>
        <c:majorTickMark val="out"/>
        <c:minorTickMark val="none"/>
        <c:tickLblPos val="nextTo"/>
        <c:crossAx val="2108361128"/>
        <c:crosses val="autoZero"/>
        <c:crossBetween val="between"/>
      </c:valAx>
    </c:plotArea>
    <c:legend>
      <c:legendPos val="r"/>
      <c:overlay val="0"/>
    </c:legend>
    <c:plotVisOnly val="1"/>
    <c:dispBlanksAs val="gap"/>
    <c:showDLblsOverMax val="0"/>
  </c:chart>
  <c:printSettings>
    <c:headerFooter/>
    <c:pageMargins b="1.0" l="0.75" r="0.75" t="1.0"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strRef>
              <c:f>'Nov''15'!$C$2</c:f>
              <c:strCache>
                <c:ptCount val="1"/>
                <c:pt idx="0">
                  <c:v>biogas consumed (m3/day)</c:v>
                </c:pt>
              </c:strCache>
            </c:strRef>
          </c:tx>
          <c:spPr>
            <a:ln w="47625">
              <a:noFill/>
            </a:ln>
          </c:spPr>
          <c:invertIfNegative val="0"/>
          <c:val>
            <c:numRef>
              <c:f>'Nov''15'!$C$3:$C$32</c:f>
              <c:numCache>
                <c:formatCode>#,##0</c:formatCode>
                <c:ptCount val="30"/>
                <c:pt idx="0">
                  <c:v>1691.863117869224</c:v>
                </c:pt>
                <c:pt idx="1">
                  <c:v>2653.0</c:v>
                </c:pt>
                <c:pt idx="2">
                  <c:v>1337.69436997152</c:v>
                </c:pt>
                <c:pt idx="3">
                  <c:v>1258.397626109065</c:v>
                </c:pt>
                <c:pt idx="4">
                  <c:v>1279.698113210358</c:v>
                </c:pt>
                <c:pt idx="5">
                  <c:v>1877.657524096457</c:v>
                </c:pt>
                <c:pt idx="6">
                  <c:v>2075.402298847797</c:v>
                </c:pt>
                <c:pt idx="7">
                  <c:v>1418.666666666667</c:v>
                </c:pt>
                <c:pt idx="8">
                  <c:v>1188.791208791399</c:v>
                </c:pt>
                <c:pt idx="9">
                  <c:v>1125.669737774814</c:v>
                </c:pt>
                <c:pt idx="10">
                  <c:v>1733.045822106233</c:v>
                </c:pt>
                <c:pt idx="11">
                  <c:v>1276.883116881186</c:v>
                </c:pt>
                <c:pt idx="12">
                  <c:v>1271.045178688448</c:v>
                </c:pt>
                <c:pt idx="13">
                  <c:v>1524.342857147927</c:v>
                </c:pt>
                <c:pt idx="14">
                  <c:v>1082.0</c:v>
                </c:pt>
                <c:pt idx="15">
                  <c:v>1171.05444520663</c:v>
                </c:pt>
                <c:pt idx="16">
                  <c:v>1316.249999999565</c:v>
                </c:pt>
                <c:pt idx="17">
                  <c:v>1366.550335574741</c:v>
                </c:pt>
                <c:pt idx="18">
                  <c:v>1201.309686220246</c:v>
                </c:pt>
                <c:pt idx="19" formatCode="_(* #,##0_);_(* \(#,##0\);_(* &quot;-&quot;??_);_(@_)">
                  <c:v>1198.956521736096</c:v>
                </c:pt>
                <c:pt idx="20" formatCode="_(* #,##0_);_(* \(#,##0\);_(* &quot;-&quot;??_);_(@_)">
                  <c:v>1213.505084746721</c:v>
                </c:pt>
                <c:pt idx="21" formatCode="_(* #,##0_);_(* \(#,##0\);_(* &quot;-&quot;??_);_(@_)">
                  <c:v>1057.558441557642</c:v>
                </c:pt>
                <c:pt idx="22" formatCode="_(* #,##0_);_(* \(#,##0\);_(* &quot;-&quot;??_);_(@_)">
                  <c:v>984.1420118372007</c:v>
                </c:pt>
                <c:pt idx="23">
                  <c:v>951.7127071789538</c:v>
                </c:pt>
                <c:pt idx="24">
                  <c:v>1115.648535563767</c:v>
                </c:pt>
                <c:pt idx="25">
                  <c:v>1588.823948687461</c:v>
                </c:pt>
                <c:pt idx="26">
                  <c:v>1232.268907560614</c:v>
                </c:pt>
                <c:pt idx="27">
                  <c:v>699.0101694920771</c:v>
                </c:pt>
                <c:pt idx="28">
                  <c:v>1244.281690142885</c:v>
                </c:pt>
                <c:pt idx="29">
                  <c:v>1603.84452296556</c:v>
                </c:pt>
              </c:numCache>
            </c:numRef>
          </c:val>
        </c:ser>
        <c:dLbls>
          <c:showLegendKey val="0"/>
          <c:showVal val="0"/>
          <c:showCatName val="0"/>
          <c:showSerName val="0"/>
          <c:showPercent val="0"/>
          <c:showBubbleSize val="0"/>
        </c:dLbls>
        <c:gapWidth val="10"/>
        <c:axId val="2108420984"/>
        <c:axId val="2108425912"/>
      </c:barChart>
      <c:scatterChart>
        <c:scatterStyle val="lineMarker"/>
        <c:varyColors val="0"/>
        <c:ser>
          <c:idx val="1"/>
          <c:order val="1"/>
          <c:tx>
            <c:strRef>
              <c:f>'Nov''15'!$D$2</c:f>
              <c:strCache>
                <c:ptCount val="1"/>
                <c:pt idx="0">
                  <c:v>CH4 (%)</c:v>
                </c:pt>
              </c:strCache>
            </c:strRef>
          </c:tx>
          <c:spPr>
            <a:ln w="47625">
              <a:noFill/>
            </a:ln>
          </c:spPr>
          <c:marker>
            <c:symbol val="square"/>
            <c:size val="9"/>
            <c:spPr>
              <a:solidFill>
                <a:schemeClr val="bg1"/>
              </a:solidFill>
              <a:ln w="19050" cmpd="sng">
                <a:solidFill>
                  <a:srgbClr val="0000FF"/>
                </a:solidFill>
              </a:ln>
            </c:spPr>
          </c:marker>
          <c:yVal>
            <c:numRef>
              <c:f>'Nov''15'!$D$3:$D$32</c:f>
              <c:numCache>
                <c:formatCode>0.0</c:formatCode>
                <c:ptCount val="30"/>
                <c:pt idx="0">
                  <c:v>64.0</c:v>
                </c:pt>
                <c:pt idx="1">
                  <c:v>64.7</c:v>
                </c:pt>
                <c:pt idx="2">
                  <c:v>64.9</c:v>
                </c:pt>
                <c:pt idx="3">
                  <c:v>64.1</c:v>
                </c:pt>
                <c:pt idx="4">
                  <c:v>64.2</c:v>
                </c:pt>
                <c:pt idx="5">
                  <c:v>62.7</c:v>
                </c:pt>
                <c:pt idx="6">
                  <c:v>61.8</c:v>
                </c:pt>
                <c:pt idx="7">
                  <c:v>62.5</c:v>
                </c:pt>
                <c:pt idx="8">
                  <c:v>62.5</c:v>
                </c:pt>
                <c:pt idx="9">
                  <c:v>61.7</c:v>
                </c:pt>
                <c:pt idx="10">
                  <c:v>63.0</c:v>
                </c:pt>
                <c:pt idx="11">
                  <c:v>64.3</c:v>
                </c:pt>
                <c:pt idx="12">
                  <c:v>63.0</c:v>
                </c:pt>
                <c:pt idx="13">
                  <c:v>62.7</c:v>
                </c:pt>
                <c:pt idx="14">
                  <c:v>62.7</c:v>
                </c:pt>
                <c:pt idx="15">
                  <c:v>63.4</c:v>
                </c:pt>
                <c:pt idx="16">
                  <c:v>63.4</c:v>
                </c:pt>
                <c:pt idx="17">
                  <c:v>64.3</c:v>
                </c:pt>
                <c:pt idx="18">
                  <c:v>63.8</c:v>
                </c:pt>
                <c:pt idx="19">
                  <c:v>64.7</c:v>
                </c:pt>
                <c:pt idx="20">
                  <c:v>63.6</c:v>
                </c:pt>
                <c:pt idx="21">
                  <c:v>63.7</c:v>
                </c:pt>
                <c:pt idx="22">
                  <c:v>62.6</c:v>
                </c:pt>
                <c:pt idx="23">
                  <c:v>62.8</c:v>
                </c:pt>
                <c:pt idx="24">
                  <c:v>62.9</c:v>
                </c:pt>
                <c:pt idx="25">
                  <c:v>63.7</c:v>
                </c:pt>
                <c:pt idx="26">
                  <c:v>62.8</c:v>
                </c:pt>
                <c:pt idx="27">
                  <c:v>61.1</c:v>
                </c:pt>
                <c:pt idx="28">
                  <c:v>64.4</c:v>
                </c:pt>
                <c:pt idx="29">
                  <c:v>66.0</c:v>
                </c:pt>
              </c:numCache>
            </c:numRef>
          </c:yVal>
          <c:smooth val="0"/>
        </c:ser>
        <c:ser>
          <c:idx val="2"/>
          <c:order val="2"/>
          <c:tx>
            <c:strRef>
              <c:f>'Nov''15'!$E$2</c:f>
              <c:strCache>
                <c:ptCount val="1"/>
                <c:pt idx="0">
                  <c:v>H2S (ppm)</c:v>
                </c:pt>
              </c:strCache>
            </c:strRef>
          </c:tx>
          <c:spPr>
            <a:ln w="47625">
              <a:noFill/>
            </a:ln>
          </c:spPr>
          <c:marker>
            <c:symbol val="plus"/>
            <c:size val="9"/>
            <c:spPr>
              <a:ln w="12700" cmpd="sng">
                <a:solidFill>
                  <a:schemeClr val="tx1"/>
                </a:solidFill>
              </a:ln>
            </c:spPr>
          </c:marker>
          <c:yVal>
            <c:numRef>
              <c:f>'Nov''15'!$E$3:$E$32</c:f>
              <c:numCache>
                <c:formatCode>0</c:formatCode>
                <c:ptCount val="30"/>
                <c:pt idx="0">
                  <c:v>52.0</c:v>
                </c:pt>
                <c:pt idx="1">
                  <c:v>174.0</c:v>
                </c:pt>
                <c:pt idx="2" formatCode="General">
                  <c:v>163.0</c:v>
                </c:pt>
                <c:pt idx="3" formatCode="General">
                  <c:v>174.0</c:v>
                </c:pt>
                <c:pt idx="4" formatCode="General">
                  <c:v>248.0</c:v>
                </c:pt>
                <c:pt idx="5" formatCode="General">
                  <c:v>234.0</c:v>
                </c:pt>
                <c:pt idx="6" formatCode="General">
                  <c:v>584.0</c:v>
                </c:pt>
                <c:pt idx="7" formatCode="General">
                  <c:v>430.0</c:v>
                </c:pt>
                <c:pt idx="8" formatCode="General">
                  <c:v>430.0</c:v>
                </c:pt>
                <c:pt idx="9" formatCode="General">
                  <c:v>244.0</c:v>
                </c:pt>
                <c:pt idx="10" formatCode="General">
                  <c:v>179.0</c:v>
                </c:pt>
                <c:pt idx="11" formatCode="General">
                  <c:v>206.0</c:v>
                </c:pt>
                <c:pt idx="12" formatCode="General">
                  <c:v>201.0</c:v>
                </c:pt>
                <c:pt idx="13" formatCode="General">
                  <c:v>170.0</c:v>
                </c:pt>
                <c:pt idx="14" formatCode="General">
                  <c:v>125.0</c:v>
                </c:pt>
                <c:pt idx="15" formatCode="General">
                  <c:v>270.0</c:v>
                </c:pt>
                <c:pt idx="16" formatCode="General">
                  <c:v>112.0</c:v>
                </c:pt>
                <c:pt idx="17" formatCode="General">
                  <c:v>167.0</c:v>
                </c:pt>
                <c:pt idx="18" formatCode="General">
                  <c:v>263.0</c:v>
                </c:pt>
                <c:pt idx="19" formatCode="General">
                  <c:v>192.0</c:v>
                </c:pt>
                <c:pt idx="20" formatCode="General">
                  <c:v>266.0</c:v>
                </c:pt>
                <c:pt idx="21" formatCode="General">
                  <c:v>267.0</c:v>
                </c:pt>
                <c:pt idx="22" formatCode="General">
                  <c:v>283.0</c:v>
                </c:pt>
                <c:pt idx="23" formatCode="General">
                  <c:v>184.0</c:v>
                </c:pt>
                <c:pt idx="24" formatCode="General">
                  <c:v>222.0</c:v>
                </c:pt>
                <c:pt idx="25" formatCode="General">
                  <c:v>278.0</c:v>
                </c:pt>
                <c:pt idx="26" formatCode="General">
                  <c:v>289.0</c:v>
                </c:pt>
                <c:pt idx="27" formatCode="General">
                  <c:v>353.0</c:v>
                </c:pt>
                <c:pt idx="28" formatCode="General">
                  <c:v>292.0</c:v>
                </c:pt>
                <c:pt idx="29" formatCode="General">
                  <c:v>229.0</c:v>
                </c:pt>
              </c:numCache>
            </c:numRef>
          </c:yVal>
          <c:smooth val="0"/>
        </c:ser>
        <c:dLbls>
          <c:showLegendKey val="0"/>
          <c:showVal val="0"/>
          <c:showCatName val="0"/>
          <c:showSerName val="0"/>
          <c:showPercent val="0"/>
          <c:showBubbleSize val="0"/>
        </c:dLbls>
        <c:axId val="2108437560"/>
        <c:axId val="2108431832"/>
      </c:scatterChart>
      <c:catAx>
        <c:axId val="2108420984"/>
        <c:scaling>
          <c:orientation val="minMax"/>
        </c:scaling>
        <c:delete val="0"/>
        <c:axPos val="b"/>
        <c:numFmt formatCode="0" sourceLinked="1"/>
        <c:majorTickMark val="out"/>
        <c:minorTickMark val="none"/>
        <c:tickLblPos val="nextTo"/>
        <c:crossAx val="2108425912"/>
        <c:crosses val="autoZero"/>
        <c:auto val="1"/>
        <c:lblAlgn val="ctr"/>
        <c:lblOffset val="100"/>
        <c:noMultiLvlLbl val="1"/>
      </c:catAx>
      <c:valAx>
        <c:axId val="2108425912"/>
        <c:scaling>
          <c:orientation val="minMax"/>
          <c:max val="3000.0"/>
        </c:scaling>
        <c:delete val="0"/>
        <c:axPos val="l"/>
        <c:title>
          <c:tx>
            <c:rich>
              <a:bodyPr rot="-5400000" vert="horz"/>
              <a:lstStyle/>
              <a:p>
                <a:pPr>
                  <a:defRPr sz="1200"/>
                </a:pPr>
                <a:r>
                  <a:rPr lang="en-US" sz="1200"/>
                  <a:t>biogas volume</a:t>
                </a:r>
                <a:r>
                  <a:rPr lang="en-US" sz="1200" baseline="0"/>
                  <a:t> (m3/day)</a:t>
                </a:r>
                <a:endParaRPr lang="en-US" sz="1200"/>
              </a:p>
            </c:rich>
          </c:tx>
          <c:layout/>
          <c:overlay val="0"/>
        </c:title>
        <c:numFmt formatCode="#,##0" sourceLinked="1"/>
        <c:majorTickMark val="out"/>
        <c:minorTickMark val="none"/>
        <c:tickLblPos val="nextTo"/>
        <c:txPr>
          <a:bodyPr/>
          <a:lstStyle/>
          <a:p>
            <a:pPr>
              <a:defRPr sz="1200"/>
            </a:pPr>
            <a:endParaRPr lang="en-US"/>
          </a:p>
        </c:txPr>
        <c:crossAx val="2108420984"/>
        <c:crosses val="autoZero"/>
        <c:crossBetween val="between"/>
      </c:valAx>
      <c:valAx>
        <c:axId val="2108431832"/>
        <c:scaling>
          <c:orientation val="minMax"/>
          <c:max val="600.0"/>
        </c:scaling>
        <c:delete val="0"/>
        <c:axPos val="r"/>
        <c:title>
          <c:tx>
            <c:rich>
              <a:bodyPr rot="-5400000" vert="horz"/>
              <a:lstStyle/>
              <a:p>
                <a:pPr>
                  <a:defRPr sz="1200"/>
                </a:pPr>
                <a:r>
                  <a:rPr lang="en-US" sz="1200"/>
                  <a:t>methane (%), H2S</a:t>
                </a:r>
                <a:r>
                  <a:rPr lang="en-US" sz="1200" baseline="0"/>
                  <a:t> (ppm</a:t>
                </a:r>
                <a:endParaRPr lang="en-US" sz="1200"/>
              </a:p>
            </c:rich>
          </c:tx>
          <c:layout/>
          <c:overlay val="0"/>
        </c:title>
        <c:numFmt formatCode="0.0" sourceLinked="1"/>
        <c:majorTickMark val="out"/>
        <c:minorTickMark val="none"/>
        <c:tickLblPos val="nextTo"/>
        <c:txPr>
          <a:bodyPr/>
          <a:lstStyle/>
          <a:p>
            <a:pPr>
              <a:defRPr sz="1200"/>
            </a:pPr>
            <a:endParaRPr lang="en-US"/>
          </a:p>
        </c:txPr>
        <c:crossAx val="2108437560"/>
        <c:crosses val="max"/>
        <c:crossBetween val="midCat"/>
      </c:valAx>
      <c:valAx>
        <c:axId val="2108437560"/>
        <c:scaling>
          <c:orientation val="minMax"/>
        </c:scaling>
        <c:delete val="1"/>
        <c:axPos val="b"/>
        <c:numFmt formatCode="0" sourceLinked="1"/>
        <c:majorTickMark val="out"/>
        <c:minorTickMark val="none"/>
        <c:tickLblPos val="nextTo"/>
        <c:crossAx val="2108431832"/>
        <c:crosses val="autoZero"/>
        <c:crossBetween val="midCat"/>
      </c:valAx>
      <c:spPr>
        <a:noFill/>
        <a:ln>
          <a:noFill/>
        </a:ln>
      </c:spPr>
    </c:plotArea>
    <c:legend>
      <c:legendPos val="r"/>
      <c:layout>
        <c:manualLayout>
          <c:xMode val="edge"/>
          <c:yMode val="edge"/>
          <c:x val="0.789478769141587"/>
          <c:y val="0.366370303378669"/>
          <c:w val="0.188605671223612"/>
          <c:h val="0.160703780319213"/>
        </c:manualLayout>
      </c:layout>
      <c:overlay val="0"/>
      <c:txPr>
        <a:bodyPr/>
        <a:lstStyle/>
        <a:p>
          <a:pPr>
            <a:defRPr sz="1200"/>
          </a:pPr>
          <a:endParaRPr lang="en-US"/>
        </a:p>
      </c:txPr>
    </c:legend>
    <c:plotVisOnly val="1"/>
    <c:dispBlanksAs val="gap"/>
    <c:showDLblsOverMax val="0"/>
  </c:chart>
  <c:spPr>
    <a:noFill/>
    <a:ln>
      <a:noFill/>
    </a:ln>
  </c:spPr>
  <c:printSettings>
    <c:headerFooter/>
    <c:pageMargins b="1.0" l="0.75" r="0.75" t="1.0" header="0.5" footer="0.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1"/>
          <c:order val="1"/>
          <c:tx>
            <c:strRef>
              <c:f>'Nov''15'!$H$2</c:f>
              <c:strCache>
                <c:ptCount val="1"/>
                <c:pt idx="0">
                  <c:v>electricity produced (kWh/day)</c:v>
                </c:pt>
              </c:strCache>
            </c:strRef>
          </c:tx>
          <c:spPr>
            <a:ln w="47625">
              <a:noFill/>
            </a:ln>
          </c:spPr>
          <c:invertIfNegative val="0"/>
          <c:val>
            <c:numRef>
              <c:f>'Nov''15'!$H$3:$H$32</c:f>
              <c:numCache>
                <c:formatCode>#,##0</c:formatCode>
                <c:ptCount val="30"/>
                <c:pt idx="0">
                  <c:v>5015.361216725597</c:v>
                </c:pt>
                <c:pt idx="1">
                  <c:v>4320.0</c:v>
                </c:pt>
                <c:pt idx="2">
                  <c:v>5023.592493291316</c:v>
                </c:pt>
                <c:pt idx="3">
                  <c:v>4878.69436200348</c:v>
                </c:pt>
                <c:pt idx="4">
                  <c:v>4998.339622652488</c:v>
                </c:pt>
                <c:pt idx="5">
                  <c:v>5366.108228330238</c:v>
                </c:pt>
                <c:pt idx="6">
                  <c:v>5133.793103441406</c:v>
                </c:pt>
                <c:pt idx="7">
                  <c:v>4464.0</c:v>
                </c:pt>
                <c:pt idx="8">
                  <c:v>4466.373626374341</c:v>
                </c:pt>
                <c:pt idx="9">
                  <c:v>4054.656272148082</c:v>
                </c:pt>
                <c:pt idx="10">
                  <c:v>4930.350404323497</c:v>
                </c:pt>
                <c:pt idx="11">
                  <c:v>4482.077922071146</c:v>
                </c:pt>
                <c:pt idx="12">
                  <c:v>4533.621038423503</c:v>
                </c:pt>
                <c:pt idx="13">
                  <c:v>4147.200000013794</c:v>
                </c:pt>
                <c:pt idx="14">
                  <c:v>4276.0</c:v>
                </c:pt>
                <c:pt idx="15">
                  <c:v>4606.809097160317</c:v>
                </c:pt>
                <c:pt idx="16">
                  <c:v>5121.818181816488</c:v>
                </c:pt>
                <c:pt idx="17">
                  <c:v>5384.053691291994</c:v>
                </c:pt>
                <c:pt idx="18">
                  <c:v>4706.030013639574</c:v>
                </c:pt>
                <c:pt idx="19" formatCode="_(* #,##0_);_(* \(#,##0\);_(* &quot;-&quot;??_);_(@_)">
                  <c:v>4655.999999988217</c:v>
                </c:pt>
                <c:pt idx="20" formatCode="_(* #,##0_);_(* \(#,##0\);_(* &quot;-&quot;??_);_(@_)">
                  <c:v>4691.959322037602</c:v>
                </c:pt>
                <c:pt idx="21" formatCode="_(* #,##0_);_(* \(#,##0\);_(* &quot;-&quot;??_);_(@_)">
                  <c:v>4017.974025970989</c:v>
                </c:pt>
                <c:pt idx="22" formatCode="_(* #,##0_);_(* \(#,##0\);_(* &quot;-&quot;??_);_(@_)">
                  <c:v>3789.585798827662</c:v>
                </c:pt>
                <c:pt idx="23">
                  <c:v>3717.348066285193</c:v>
                </c:pt>
                <c:pt idx="24">
                  <c:v>4339.079497903723</c:v>
                </c:pt>
                <c:pt idx="25">
                  <c:v>5014.853884552284</c:v>
                </c:pt>
                <c:pt idx="26">
                  <c:v>4861.512605032505</c:v>
                </c:pt>
                <c:pt idx="27">
                  <c:v>2275.688135595016</c:v>
                </c:pt>
                <c:pt idx="28">
                  <c:v>4586.704225359633</c:v>
                </c:pt>
                <c:pt idx="29">
                  <c:v>5132.098939920885</c:v>
                </c:pt>
              </c:numCache>
            </c:numRef>
          </c:val>
        </c:ser>
        <c:dLbls>
          <c:showLegendKey val="0"/>
          <c:showVal val="0"/>
          <c:showCatName val="0"/>
          <c:showSerName val="0"/>
          <c:showPercent val="0"/>
          <c:showBubbleSize val="0"/>
        </c:dLbls>
        <c:gapWidth val="10"/>
        <c:axId val="2098206920"/>
        <c:axId val="2098201816"/>
      </c:barChart>
      <c:scatterChart>
        <c:scatterStyle val="lineMarker"/>
        <c:varyColors val="0"/>
        <c:ser>
          <c:idx val="0"/>
          <c:order val="0"/>
          <c:tx>
            <c:strRef>
              <c:f>'Nov''15'!$G$2</c:f>
              <c:strCache>
                <c:ptCount val="1"/>
                <c:pt idx="0">
                  <c:v>electricity consumed (kWh/day)</c:v>
                </c:pt>
              </c:strCache>
            </c:strRef>
          </c:tx>
          <c:spPr>
            <a:ln w="47625">
              <a:noFill/>
            </a:ln>
          </c:spPr>
          <c:marker>
            <c:symbol val="circle"/>
            <c:size val="12"/>
            <c:spPr>
              <a:solidFill>
                <a:schemeClr val="bg1"/>
              </a:solidFill>
              <a:ln>
                <a:solidFill>
                  <a:srgbClr val="FF0000"/>
                </a:solidFill>
              </a:ln>
            </c:spPr>
          </c:marker>
          <c:yVal>
            <c:numRef>
              <c:f>'Nov''15'!$G$3:$G$32</c:f>
              <c:numCache>
                <c:formatCode>#,##0</c:formatCode>
                <c:ptCount val="30"/>
                <c:pt idx="0">
                  <c:v>585.8555133074661</c:v>
                </c:pt>
                <c:pt idx="1">
                  <c:v>562.0</c:v>
                </c:pt>
                <c:pt idx="2">
                  <c:v>580.0536193022249</c:v>
                </c:pt>
                <c:pt idx="3">
                  <c:v>568.3086053395776</c:v>
                </c:pt>
                <c:pt idx="4">
                  <c:v>625.8113207560916</c:v>
                </c:pt>
                <c:pt idx="5">
                  <c:v>552.9429206833227</c:v>
                </c:pt>
                <c:pt idx="6">
                  <c:v>602.2988505739066</c:v>
                </c:pt>
                <c:pt idx="7">
                  <c:v>580.2666666666666</c:v>
                </c:pt>
                <c:pt idx="8">
                  <c:v>540.0000000000864</c:v>
                </c:pt>
                <c:pt idx="9">
                  <c:v>526.6052445075284</c:v>
                </c:pt>
                <c:pt idx="10">
                  <c:v>644.3126684650271</c:v>
                </c:pt>
                <c:pt idx="11">
                  <c:v>572.467532466667</c:v>
                </c:pt>
                <c:pt idx="12">
                  <c:v>565.1247471326792</c:v>
                </c:pt>
                <c:pt idx="13">
                  <c:v>551.3142857161194</c:v>
                </c:pt>
                <c:pt idx="14">
                  <c:v>613.0</c:v>
                </c:pt>
                <c:pt idx="15">
                  <c:v>548.8077188129374</c:v>
                </c:pt>
                <c:pt idx="16">
                  <c:v>631.0227272725185</c:v>
                </c:pt>
                <c:pt idx="17">
                  <c:v>589.5302013441243</c:v>
                </c:pt>
                <c:pt idx="18">
                  <c:v>597.2169167799752</c:v>
                </c:pt>
                <c:pt idx="19" formatCode="_(* #,##0_);_(* \(#,##0\);_(* &quot;-&quot;??_);_(@_)">
                  <c:v>553.04347825947</c:v>
                </c:pt>
                <c:pt idx="20" formatCode="_(* #,##0_);_(* \(#,##0\);_(* &quot;-&quot;??_);_(@_)">
                  <c:v>590.6440677970763</c:v>
                </c:pt>
                <c:pt idx="21" formatCode="_(* #,##0_);_(* \(#,##0\);_(* &quot;-&quot;??_);_(@_)">
                  <c:v>543.2727272723166</c:v>
                </c:pt>
                <c:pt idx="22" formatCode="_(* #,##0_);_(* \(#,##0\);_(* &quot;-&quot;??_);_(@_)">
                  <c:v>599.6449704159567</c:v>
                </c:pt>
                <c:pt idx="23">
                  <c:v>604.6408839757616</c:v>
                </c:pt>
                <c:pt idx="24">
                  <c:v>587.4476987441976</c:v>
                </c:pt>
                <c:pt idx="25">
                  <c:v>591.1903064883576</c:v>
                </c:pt>
                <c:pt idx="26">
                  <c:v>560.6722689064661</c:v>
                </c:pt>
                <c:pt idx="27">
                  <c:v>658.0067796615362</c:v>
                </c:pt>
                <c:pt idx="28">
                  <c:v>593.239436620691</c:v>
                </c:pt>
                <c:pt idx="29">
                  <c:v>630.954063603202</c:v>
                </c:pt>
              </c:numCache>
            </c:numRef>
          </c:yVal>
          <c:smooth val="0"/>
        </c:ser>
        <c:dLbls>
          <c:showLegendKey val="0"/>
          <c:showVal val="0"/>
          <c:showCatName val="0"/>
          <c:showSerName val="0"/>
          <c:showPercent val="0"/>
          <c:showBubbleSize val="0"/>
        </c:dLbls>
        <c:axId val="2098206920"/>
        <c:axId val="2098201816"/>
      </c:scatterChart>
      <c:catAx>
        <c:axId val="2098206920"/>
        <c:scaling>
          <c:orientation val="minMax"/>
        </c:scaling>
        <c:delete val="0"/>
        <c:axPos val="b"/>
        <c:numFmt formatCode="0" sourceLinked="1"/>
        <c:majorTickMark val="out"/>
        <c:minorTickMark val="none"/>
        <c:tickLblPos val="nextTo"/>
        <c:crossAx val="2098201816"/>
        <c:crosses val="autoZero"/>
        <c:auto val="1"/>
        <c:lblAlgn val="ctr"/>
        <c:lblOffset val="100"/>
        <c:noMultiLvlLbl val="1"/>
      </c:catAx>
      <c:valAx>
        <c:axId val="2098201816"/>
        <c:scaling>
          <c:orientation val="minMax"/>
          <c:max val="9000.0"/>
        </c:scaling>
        <c:delete val="0"/>
        <c:axPos val="l"/>
        <c:title>
          <c:tx>
            <c:rich>
              <a:bodyPr rot="-5400000" vert="horz"/>
              <a:lstStyle/>
              <a:p>
                <a:pPr>
                  <a:defRPr sz="1200"/>
                </a:pPr>
                <a:r>
                  <a:rPr lang="en-US" sz="1200"/>
                  <a:t>electricity</a:t>
                </a:r>
                <a:r>
                  <a:rPr lang="en-US" sz="1200" baseline="0"/>
                  <a:t> (kWh/day)</a:t>
                </a:r>
                <a:endParaRPr lang="en-US" sz="1200"/>
              </a:p>
            </c:rich>
          </c:tx>
          <c:overlay val="0"/>
        </c:title>
        <c:numFmt formatCode="#,##0" sourceLinked="1"/>
        <c:majorTickMark val="out"/>
        <c:minorTickMark val="none"/>
        <c:tickLblPos val="nextTo"/>
        <c:txPr>
          <a:bodyPr/>
          <a:lstStyle/>
          <a:p>
            <a:pPr>
              <a:defRPr sz="1200"/>
            </a:pPr>
            <a:endParaRPr lang="en-US"/>
          </a:p>
        </c:txPr>
        <c:crossAx val="2098206920"/>
        <c:crosses val="autoZero"/>
        <c:crossBetween val="between"/>
      </c:valAx>
      <c:spPr>
        <a:noFill/>
        <a:ln>
          <a:noFill/>
        </a:ln>
      </c:spPr>
    </c:plotArea>
    <c:legend>
      <c:legendPos val="r"/>
      <c:layout>
        <c:manualLayout>
          <c:xMode val="edge"/>
          <c:yMode val="edge"/>
          <c:x val="0.76506328227396"/>
          <c:y val="0.362752590606079"/>
          <c:w val="0.230977398473221"/>
          <c:h val="0.181357671733435"/>
        </c:manualLayout>
      </c:layout>
      <c:overlay val="0"/>
      <c:txPr>
        <a:bodyPr/>
        <a:lstStyle/>
        <a:p>
          <a:pPr>
            <a:defRPr sz="1200"/>
          </a:pPr>
          <a:endParaRPr lang="en-US"/>
        </a:p>
      </c:txPr>
    </c:legend>
    <c:plotVisOnly val="1"/>
    <c:dispBlanksAs val="gap"/>
    <c:showDLblsOverMax val="0"/>
  </c:chart>
  <c:spPr>
    <a:noFill/>
    <a:ln>
      <a:noFill/>
    </a:ln>
  </c:spPr>
  <c:printSettings>
    <c:headerFooter/>
    <c:pageMargins b="1.0" l="0.75" r="0.75" t="1.0"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lineMarker"/>
        <c:varyColors val="0"/>
        <c:ser>
          <c:idx val="0"/>
          <c:order val="0"/>
          <c:tx>
            <c:strRef>
              <c:f>'Nov''15'!$M$2</c:f>
              <c:strCache>
                <c:ptCount val="1"/>
                <c:pt idx="0">
                  <c:v>hydroylzer Ripley ratio</c:v>
                </c:pt>
              </c:strCache>
            </c:strRef>
          </c:tx>
          <c:spPr>
            <a:ln w="47625">
              <a:noFill/>
            </a:ln>
          </c:spPr>
          <c:xVal>
            <c:numRef>
              <c:f>'Nov''15'!$L$3:$L$32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xVal>
          <c:yVal>
            <c:numRef>
              <c:f>'Nov''15'!$M$3:$M$32</c:f>
              <c:numCache>
                <c:formatCode>0.00</c:formatCode>
                <c:ptCount val="30"/>
                <c:pt idx="16">
                  <c:v>13.16590909090909</c:v>
                </c:pt>
              </c:numCache>
            </c:numRef>
          </c:yVal>
          <c:smooth val="0"/>
        </c:ser>
        <c:ser>
          <c:idx val="1"/>
          <c:order val="1"/>
          <c:tx>
            <c:strRef>
              <c:f>'Nov''15'!$N$2</c:f>
              <c:strCache>
                <c:ptCount val="1"/>
                <c:pt idx="0">
                  <c:v>AD Ripley ratio</c:v>
                </c:pt>
              </c:strCache>
            </c:strRef>
          </c:tx>
          <c:spPr>
            <a:ln w="47625">
              <a:noFill/>
            </a:ln>
          </c:spPr>
          <c:xVal>
            <c:numRef>
              <c:f>'Nov''15'!$L$3:$L$32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xVal>
          <c:yVal>
            <c:numRef>
              <c:f>'Nov''15'!$N$3:$N$32</c:f>
              <c:numCache>
                <c:formatCode>0.00</c:formatCode>
                <c:ptCount val="30"/>
                <c:pt idx="4">
                  <c:v>0.45</c:v>
                </c:pt>
                <c:pt idx="9">
                  <c:v>0.44</c:v>
                </c:pt>
                <c:pt idx="16">
                  <c:v>0.451183514341409</c:v>
                </c:pt>
                <c:pt idx="23">
                  <c:v>0.47</c:v>
                </c:pt>
              </c:numCache>
            </c:numRef>
          </c:yVal>
          <c:smooth val="0"/>
        </c:ser>
        <c:dLbls>
          <c:showLegendKey val="0"/>
          <c:showVal val="0"/>
          <c:showCatName val="0"/>
          <c:showSerName val="0"/>
          <c:showPercent val="0"/>
          <c:showBubbleSize val="0"/>
        </c:dLbls>
        <c:axId val="2106867224"/>
        <c:axId val="2106873096"/>
      </c:scatterChart>
      <c:valAx>
        <c:axId val="2106867224"/>
        <c:scaling>
          <c:orientation val="minMax"/>
          <c:max val="30.0"/>
        </c:scaling>
        <c:delete val="0"/>
        <c:axPos val="b"/>
        <c:numFmt formatCode="0" sourceLinked="1"/>
        <c:majorTickMark val="out"/>
        <c:minorTickMark val="none"/>
        <c:tickLblPos val="nextTo"/>
        <c:crossAx val="2106873096"/>
        <c:crosses val="autoZero"/>
        <c:crossBetween val="midCat"/>
      </c:valAx>
      <c:valAx>
        <c:axId val="2106873096"/>
        <c:scaling>
          <c:orientation val="minMax"/>
          <c:max val="0.9"/>
        </c:scaling>
        <c:delete val="0"/>
        <c:axPos val="l"/>
        <c:title>
          <c:tx>
            <c:rich>
              <a:bodyPr rot="-5400000" vert="horz"/>
              <a:lstStyle/>
              <a:p>
                <a:pPr>
                  <a:defRPr sz="1200"/>
                </a:pPr>
                <a:r>
                  <a:rPr lang="en-US" sz="1200"/>
                  <a:t>Ripley ratio </a:t>
                </a:r>
              </a:p>
            </c:rich>
          </c:tx>
          <c:overlay val="0"/>
        </c:title>
        <c:numFmt formatCode="0.00" sourceLinked="1"/>
        <c:majorTickMark val="out"/>
        <c:minorTickMark val="none"/>
        <c:tickLblPos val="nextTo"/>
        <c:txPr>
          <a:bodyPr/>
          <a:lstStyle/>
          <a:p>
            <a:pPr>
              <a:defRPr sz="1200" b="1" i="0"/>
            </a:pPr>
            <a:endParaRPr lang="en-US"/>
          </a:p>
        </c:txPr>
        <c:crossAx val="2106867224"/>
        <c:crosses val="autoZero"/>
        <c:crossBetween val="midCat"/>
        <c:minorUnit val="0.02"/>
      </c:valAx>
      <c:spPr>
        <a:noFill/>
        <a:ln>
          <a:noFill/>
        </a:ln>
      </c:spPr>
    </c:plotArea>
    <c:legend>
      <c:legendPos val="r"/>
      <c:overlay val="0"/>
    </c:legend>
    <c:plotVisOnly val="1"/>
    <c:dispBlanksAs val="gap"/>
    <c:showDLblsOverMax val="0"/>
  </c:chart>
  <c:spPr>
    <a:noFill/>
    <a:ln>
      <a:noFill/>
    </a:ln>
  </c:spPr>
  <c:printSettings>
    <c:headerFooter/>
    <c:pageMargins b="1.0" l="0.75" r="0.75" t="1.0" header="0.5" footer="0.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lineMarker"/>
        <c:varyColors val="0"/>
        <c:ser>
          <c:idx val="0"/>
          <c:order val="0"/>
          <c:tx>
            <c:strRef>
              <c:f>'Nov''15'!$J$2</c:f>
              <c:strCache>
                <c:ptCount val="1"/>
                <c:pt idx="0">
                  <c:v>Hydrolyzer pH</c:v>
                </c:pt>
              </c:strCache>
            </c:strRef>
          </c:tx>
          <c:spPr>
            <a:ln w="47625">
              <a:noFill/>
            </a:ln>
          </c:spPr>
          <c:marker>
            <c:symbol val="triangle"/>
            <c:size val="15"/>
            <c:spPr>
              <a:solidFill>
                <a:schemeClr val="bg1"/>
              </a:solidFill>
              <a:ln>
                <a:solidFill>
                  <a:srgbClr val="0000FF"/>
                </a:solidFill>
              </a:ln>
            </c:spPr>
          </c:marker>
          <c:xVal>
            <c:numRef>
              <c:f>'Nov''15'!$I$3:$I$32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xVal>
          <c:yVal>
            <c:numRef>
              <c:f>'Nov''15'!$J$3:$J$32</c:f>
              <c:numCache>
                <c:formatCode>0.00</c:formatCode>
                <c:ptCount val="30"/>
                <c:pt idx="0">
                  <c:v>5.21</c:v>
                </c:pt>
                <c:pt idx="1">
                  <c:v>5.19</c:v>
                </c:pt>
                <c:pt idx="2">
                  <c:v>5.23</c:v>
                </c:pt>
                <c:pt idx="3">
                  <c:v>5.12</c:v>
                </c:pt>
                <c:pt idx="4">
                  <c:v>5.19</c:v>
                </c:pt>
                <c:pt idx="5">
                  <c:v>5.01</c:v>
                </c:pt>
                <c:pt idx="6">
                  <c:v>4.95</c:v>
                </c:pt>
                <c:pt idx="7">
                  <c:v>5.17</c:v>
                </c:pt>
                <c:pt idx="8">
                  <c:v>5.04</c:v>
                </c:pt>
                <c:pt idx="9">
                  <c:v>5.1</c:v>
                </c:pt>
                <c:pt idx="10">
                  <c:v>5.17</c:v>
                </c:pt>
                <c:pt idx="11">
                  <c:v>5.35</c:v>
                </c:pt>
                <c:pt idx="12">
                  <c:v>5.11</c:v>
                </c:pt>
                <c:pt idx="13">
                  <c:v>5.04</c:v>
                </c:pt>
                <c:pt idx="14">
                  <c:v>5.17</c:v>
                </c:pt>
                <c:pt idx="15">
                  <c:v>5.38</c:v>
                </c:pt>
                <c:pt idx="16">
                  <c:v>5.48</c:v>
                </c:pt>
                <c:pt idx="17">
                  <c:v>5.58</c:v>
                </c:pt>
                <c:pt idx="18">
                  <c:v>5.53</c:v>
                </c:pt>
                <c:pt idx="19">
                  <c:v>5.56</c:v>
                </c:pt>
                <c:pt idx="20">
                  <c:v>5.34</c:v>
                </c:pt>
                <c:pt idx="21">
                  <c:v>5.4</c:v>
                </c:pt>
                <c:pt idx="22">
                  <c:v>5.55</c:v>
                </c:pt>
                <c:pt idx="23">
                  <c:v>5.56</c:v>
                </c:pt>
                <c:pt idx="24">
                  <c:v>5.45</c:v>
                </c:pt>
                <c:pt idx="25">
                  <c:v>5.6</c:v>
                </c:pt>
                <c:pt idx="26">
                  <c:v>5.57</c:v>
                </c:pt>
                <c:pt idx="27">
                  <c:v>5.45</c:v>
                </c:pt>
                <c:pt idx="28">
                  <c:v>5.48</c:v>
                </c:pt>
                <c:pt idx="29">
                  <c:v>5.25</c:v>
                </c:pt>
              </c:numCache>
            </c:numRef>
          </c:yVal>
          <c:smooth val="0"/>
        </c:ser>
        <c:ser>
          <c:idx val="1"/>
          <c:order val="1"/>
          <c:tx>
            <c:strRef>
              <c:f>'Nov''15'!$K$2</c:f>
              <c:strCache>
                <c:ptCount val="1"/>
                <c:pt idx="0">
                  <c:v>AD pH</c:v>
                </c:pt>
              </c:strCache>
            </c:strRef>
          </c:tx>
          <c:spPr>
            <a:ln w="47625">
              <a:noFill/>
            </a:ln>
          </c:spPr>
          <c:marker>
            <c:symbol val="triangle"/>
            <c:size val="12"/>
            <c:spPr>
              <a:solidFill>
                <a:srgbClr val="0000FF"/>
              </a:solidFill>
              <a:ln>
                <a:solidFill>
                  <a:srgbClr val="0000FF"/>
                </a:solidFill>
              </a:ln>
            </c:spPr>
          </c:marker>
          <c:xVal>
            <c:numRef>
              <c:f>'Nov''15'!$I$3:$I$32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xVal>
          <c:yVal>
            <c:numRef>
              <c:f>'Nov''15'!$K$3:$K$32</c:f>
              <c:numCache>
                <c:formatCode>0.00</c:formatCode>
                <c:ptCount val="30"/>
                <c:pt idx="0">
                  <c:v>7.28</c:v>
                </c:pt>
                <c:pt idx="1">
                  <c:v>7.12</c:v>
                </c:pt>
                <c:pt idx="2">
                  <c:v>7.16</c:v>
                </c:pt>
                <c:pt idx="3">
                  <c:v>7.04</c:v>
                </c:pt>
                <c:pt idx="4">
                  <c:v>7.06</c:v>
                </c:pt>
                <c:pt idx="5">
                  <c:v>7.24</c:v>
                </c:pt>
                <c:pt idx="6">
                  <c:v>7.58</c:v>
                </c:pt>
                <c:pt idx="7">
                  <c:v>7.29</c:v>
                </c:pt>
                <c:pt idx="8">
                  <c:v>7.02</c:v>
                </c:pt>
                <c:pt idx="9">
                  <c:v>7.09</c:v>
                </c:pt>
                <c:pt idx="10">
                  <c:v>7.02</c:v>
                </c:pt>
                <c:pt idx="11">
                  <c:v>7.17</c:v>
                </c:pt>
                <c:pt idx="12">
                  <c:v>7.01</c:v>
                </c:pt>
                <c:pt idx="13">
                  <c:v>6.98</c:v>
                </c:pt>
                <c:pt idx="14">
                  <c:v>7.1</c:v>
                </c:pt>
                <c:pt idx="15">
                  <c:v>7.08</c:v>
                </c:pt>
                <c:pt idx="16">
                  <c:v>7.05</c:v>
                </c:pt>
                <c:pt idx="17">
                  <c:v>7.18</c:v>
                </c:pt>
                <c:pt idx="18">
                  <c:v>7.37</c:v>
                </c:pt>
                <c:pt idx="19">
                  <c:v>7.0</c:v>
                </c:pt>
                <c:pt idx="20">
                  <c:v>7.06</c:v>
                </c:pt>
                <c:pt idx="21">
                  <c:v>7.12</c:v>
                </c:pt>
                <c:pt idx="22">
                  <c:v>7.03</c:v>
                </c:pt>
                <c:pt idx="23">
                  <c:v>7.11</c:v>
                </c:pt>
                <c:pt idx="24">
                  <c:v>7.02</c:v>
                </c:pt>
                <c:pt idx="25">
                  <c:v>7.18</c:v>
                </c:pt>
                <c:pt idx="26">
                  <c:v>7.05</c:v>
                </c:pt>
                <c:pt idx="27">
                  <c:v>7.23</c:v>
                </c:pt>
                <c:pt idx="28">
                  <c:v>7.12</c:v>
                </c:pt>
                <c:pt idx="29">
                  <c:v>7.07</c:v>
                </c:pt>
              </c:numCache>
            </c:numRef>
          </c:yVal>
          <c:smooth val="0"/>
        </c:ser>
        <c:dLbls>
          <c:showLegendKey val="0"/>
          <c:showVal val="0"/>
          <c:showCatName val="0"/>
          <c:showSerName val="0"/>
          <c:showPercent val="0"/>
          <c:showBubbleSize val="0"/>
        </c:dLbls>
        <c:axId val="2109095160"/>
        <c:axId val="2109100856"/>
      </c:scatterChart>
      <c:valAx>
        <c:axId val="2109095160"/>
        <c:scaling>
          <c:orientation val="minMax"/>
          <c:max val="30.0"/>
        </c:scaling>
        <c:delete val="0"/>
        <c:axPos val="b"/>
        <c:numFmt formatCode="0" sourceLinked="1"/>
        <c:majorTickMark val="out"/>
        <c:minorTickMark val="none"/>
        <c:tickLblPos val="nextTo"/>
        <c:txPr>
          <a:bodyPr/>
          <a:lstStyle/>
          <a:p>
            <a:pPr>
              <a:defRPr sz="1000" b="0" i="0"/>
            </a:pPr>
            <a:endParaRPr lang="en-US"/>
          </a:p>
        </c:txPr>
        <c:crossAx val="2109100856"/>
        <c:crosses val="autoZero"/>
        <c:crossBetween val="midCat"/>
      </c:valAx>
      <c:valAx>
        <c:axId val="2109100856"/>
        <c:scaling>
          <c:orientation val="minMax"/>
          <c:max val="8.0"/>
          <c:min val="4.0"/>
        </c:scaling>
        <c:delete val="0"/>
        <c:axPos val="l"/>
        <c:title>
          <c:tx>
            <c:rich>
              <a:bodyPr rot="-5400000" vert="horz"/>
              <a:lstStyle/>
              <a:p>
                <a:pPr>
                  <a:defRPr sz="1200"/>
                </a:pPr>
                <a:r>
                  <a:rPr lang="en-US" sz="1200"/>
                  <a:t>pH</a:t>
                </a:r>
              </a:p>
            </c:rich>
          </c:tx>
          <c:overlay val="0"/>
        </c:title>
        <c:numFmt formatCode="0.00" sourceLinked="1"/>
        <c:majorTickMark val="out"/>
        <c:minorTickMark val="none"/>
        <c:tickLblPos val="nextTo"/>
        <c:txPr>
          <a:bodyPr/>
          <a:lstStyle/>
          <a:p>
            <a:pPr>
              <a:defRPr sz="1200" b="1" i="0"/>
            </a:pPr>
            <a:endParaRPr lang="en-US"/>
          </a:p>
        </c:txPr>
        <c:crossAx val="2109095160"/>
        <c:crosses val="autoZero"/>
        <c:crossBetween val="midCat"/>
      </c:valAx>
      <c:spPr>
        <a:noFill/>
        <a:ln>
          <a:noFill/>
        </a:ln>
      </c:spPr>
    </c:plotArea>
    <c:legend>
      <c:legendPos val="r"/>
      <c:overlay val="0"/>
    </c:legend>
    <c:plotVisOnly val="1"/>
    <c:dispBlanksAs val="gap"/>
    <c:showDLblsOverMax val="0"/>
  </c:chart>
  <c:spPr>
    <a:noFill/>
    <a:ln>
      <a:noFill/>
    </a:ln>
  </c:spPr>
  <c:printSettings>
    <c:headerFooter/>
    <c:pageMargins b="1.0" l="0.75" r="0.75" t="1.0" header="0.5" footer="0.5"/>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stacked"/>
        <c:varyColors val="0"/>
        <c:ser>
          <c:idx val="0"/>
          <c:order val="0"/>
          <c:tx>
            <c:strRef>
              <c:f>'Jun''15'!$O$2</c:f>
              <c:strCache>
                <c:ptCount val="1"/>
                <c:pt idx="0">
                  <c:v>Hydrolyzer TA (mg/L CaCO3)</c:v>
                </c:pt>
              </c:strCache>
            </c:strRef>
          </c:tx>
          <c:spPr>
            <a:ln w="47625">
              <a:noFill/>
            </a:ln>
          </c:spPr>
          <c:invertIfNegative val="0"/>
          <c:cat>
            <c:numRef>
              <c:f>'Jun''15'!$N$3:$N$32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cat>
          <c:val>
            <c:numRef>
              <c:f>'Jun''15'!$O$3:$O$32</c:f>
              <c:numCache>
                <c:formatCode>_(* #,##0_);_(* \(#,##0\);_(* "-"??_);_(@_)</c:formatCode>
                <c:ptCount val="30"/>
                <c:pt idx="3">
                  <c:v>2837.5</c:v>
                </c:pt>
                <c:pt idx="11">
                  <c:v>1766.666666666667</c:v>
                </c:pt>
                <c:pt idx="17">
                  <c:v>2225.0</c:v>
                </c:pt>
                <c:pt idx="25">
                  <c:v>2308.333333333333</c:v>
                </c:pt>
              </c:numCache>
            </c:numRef>
          </c:val>
        </c:ser>
        <c:ser>
          <c:idx val="3"/>
          <c:order val="2"/>
          <c:tx>
            <c:strRef>
              <c:f>'Jun''15'!$R$2</c:f>
              <c:strCache>
                <c:ptCount val="1"/>
                <c:pt idx="0">
                  <c:v>AD TA (mg/L CaCO3)</c:v>
                </c:pt>
              </c:strCache>
            </c:strRef>
          </c:tx>
          <c:spPr>
            <a:ln w="47625">
              <a:noFill/>
            </a:ln>
          </c:spPr>
          <c:invertIfNegative val="0"/>
          <c:cat>
            <c:numRef>
              <c:f>'Jun''15'!$N$3:$N$32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cat>
          <c:val>
            <c:numRef>
              <c:f>'Jun''15'!$R$3:$R$32</c:f>
              <c:numCache>
                <c:formatCode>_(* #,##0_);_(* \(#,##0\);_(* "-"??_);_(@_)</c:formatCode>
                <c:ptCount val="30"/>
                <c:pt idx="3">
                  <c:v>5725.0</c:v>
                </c:pt>
                <c:pt idx="11">
                  <c:v>5179.166666666666</c:v>
                </c:pt>
                <c:pt idx="17">
                  <c:v>5150.0</c:v>
                </c:pt>
                <c:pt idx="25">
                  <c:v>5441.666666666666</c:v>
                </c:pt>
                <c:pt idx="29">
                  <c:v>5433.333333333333</c:v>
                </c:pt>
              </c:numCache>
            </c:numRef>
          </c:val>
        </c:ser>
        <c:ser>
          <c:idx val="1"/>
          <c:order val="1"/>
          <c:tx>
            <c:strRef>
              <c:f>'Jun''15'!$P$2</c:f>
              <c:strCache>
                <c:ptCount val="1"/>
                <c:pt idx="0">
                  <c:v>hydrolyzer PA (mg/L CaCO3)</c:v>
                </c:pt>
              </c:strCache>
            </c:strRef>
          </c:tx>
          <c:spPr>
            <a:ln w="47625">
              <a:noFill/>
            </a:ln>
          </c:spPr>
          <c:invertIfNegative val="0"/>
          <c:val>
            <c:numRef>
              <c:f>'Jun''15'!$P$3:$P$32</c:f>
              <c:numCache>
                <c:formatCode>_(* #,##0_);_(* \(#,##0\);_(* "-"??_);_(@_)</c:formatCode>
                <c:ptCount val="30"/>
              </c:numCache>
            </c:numRef>
          </c:val>
        </c:ser>
        <c:ser>
          <c:idx val="4"/>
          <c:order val="3"/>
          <c:tx>
            <c:strRef>
              <c:f>'Jun''15'!$S$2</c:f>
              <c:strCache>
                <c:ptCount val="1"/>
                <c:pt idx="0">
                  <c:v>AD PA (mg/L CaCO3)</c:v>
                </c:pt>
              </c:strCache>
            </c:strRef>
          </c:tx>
          <c:spPr>
            <a:ln w="47625">
              <a:noFill/>
            </a:ln>
          </c:spPr>
          <c:invertIfNegative val="0"/>
          <c:val>
            <c:numRef>
              <c:f>'Jun''15'!$S$3:$S$32</c:f>
              <c:numCache>
                <c:formatCode>_(* #,##0_);_(* \(#,##0\);_(* "-"??_);_(@_)</c:formatCode>
                <c:ptCount val="30"/>
                <c:pt idx="3">
                  <c:v>2825.0</c:v>
                </c:pt>
                <c:pt idx="11">
                  <c:v>2650.0</c:v>
                </c:pt>
                <c:pt idx="17">
                  <c:v>2733.333333333333</c:v>
                </c:pt>
                <c:pt idx="25">
                  <c:v>2875.0</c:v>
                </c:pt>
                <c:pt idx="29">
                  <c:v>3008.333333333333</c:v>
                </c:pt>
              </c:numCache>
            </c:numRef>
          </c:val>
        </c:ser>
        <c:ser>
          <c:idx val="5"/>
          <c:order val="4"/>
          <c:tx>
            <c:strRef>
              <c:f>'Jun''15'!$T$2</c:f>
              <c:strCache>
                <c:ptCount val="1"/>
                <c:pt idx="0">
                  <c:v>AD IA (mg/L CaCO3)</c:v>
                </c:pt>
              </c:strCache>
            </c:strRef>
          </c:tx>
          <c:spPr>
            <a:ln w="47625">
              <a:noFill/>
            </a:ln>
          </c:spPr>
          <c:invertIfNegative val="0"/>
          <c:val>
            <c:numRef>
              <c:f>'Jun''15'!$T$3:$T$32</c:f>
              <c:numCache>
                <c:formatCode>_(* #,##0_);_(* \(#,##0\);_(* "-"??_);_(@_)</c:formatCode>
                <c:ptCount val="30"/>
                <c:pt idx="3">
                  <c:v>2416.666666666667</c:v>
                </c:pt>
                <c:pt idx="11">
                  <c:v>2108.333333333333</c:v>
                </c:pt>
                <c:pt idx="17">
                  <c:v>2000.0</c:v>
                </c:pt>
                <c:pt idx="25">
                  <c:v>2191.666666666667</c:v>
                </c:pt>
                <c:pt idx="29">
                  <c:v>1908.333333333333</c:v>
                </c:pt>
              </c:numCache>
            </c:numRef>
          </c:val>
        </c:ser>
        <c:dLbls>
          <c:showLegendKey val="0"/>
          <c:showVal val="0"/>
          <c:showCatName val="0"/>
          <c:showSerName val="0"/>
          <c:showPercent val="0"/>
          <c:showBubbleSize val="0"/>
        </c:dLbls>
        <c:gapWidth val="10"/>
        <c:overlap val="100"/>
        <c:axId val="2106793352"/>
        <c:axId val="2106790216"/>
      </c:barChart>
      <c:catAx>
        <c:axId val="2106793352"/>
        <c:scaling>
          <c:orientation val="minMax"/>
        </c:scaling>
        <c:delete val="0"/>
        <c:axPos val="b"/>
        <c:numFmt formatCode="0" sourceLinked="1"/>
        <c:majorTickMark val="out"/>
        <c:minorTickMark val="none"/>
        <c:tickLblPos val="nextTo"/>
        <c:crossAx val="2106790216"/>
        <c:crosses val="autoZero"/>
        <c:auto val="1"/>
        <c:lblAlgn val="ctr"/>
        <c:lblOffset val="100"/>
        <c:noMultiLvlLbl val="0"/>
      </c:catAx>
      <c:valAx>
        <c:axId val="2106790216"/>
        <c:scaling>
          <c:orientation val="minMax"/>
        </c:scaling>
        <c:delete val="0"/>
        <c:axPos val="l"/>
        <c:numFmt formatCode="_(* #,##0_);_(* \(#,##0\);_(* &quot;-&quot;??_);_(@_)" sourceLinked="1"/>
        <c:majorTickMark val="out"/>
        <c:minorTickMark val="none"/>
        <c:tickLblPos val="nextTo"/>
        <c:crossAx val="2106793352"/>
        <c:crosses val="autoZero"/>
        <c:crossBetween val="between"/>
      </c:valAx>
    </c:plotArea>
    <c:legend>
      <c:legendPos val="r"/>
      <c:overlay val="0"/>
    </c:legend>
    <c:plotVisOnly val="1"/>
    <c:dispBlanksAs val="gap"/>
    <c:showDLblsOverMax val="0"/>
  </c:chart>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strRef>
              <c:f>'Feb''15'!$C$2</c:f>
              <c:strCache>
                <c:ptCount val="1"/>
                <c:pt idx="0">
                  <c:v>biogas consumed (m3/day)</c:v>
                </c:pt>
              </c:strCache>
            </c:strRef>
          </c:tx>
          <c:spPr>
            <a:ln w="47625">
              <a:noFill/>
            </a:ln>
          </c:spPr>
          <c:invertIfNegative val="0"/>
          <c:cat>
            <c:numRef>
              <c:f>'Feb''15'!$B$3:$B$30</c:f>
              <c:numCache>
                <c:formatCode>0</c:formatCode>
                <c:ptCount val="28"/>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numCache>
            </c:numRef>
          </c:cat>
          <c:val>
            <c:numRef>
              <c:f>'Feb''15'!$C$3:$C$30</c:f>
              <c:numCache>
                <c:formatCode>#,##0</c:formatCode>
                <c:ptCount val="28"/>
                <c:pt idx="0">
                  <c:v>849.1428571428571</c:v>
                </c:pt>
                <c:pt idx="1">
                  <c:v>869.8181818181817</c:v>
                </c:pt>
                <c:pt idx="2">
                  <c:v>784.9411764705882</c:v>
                </c:pt>
                <c:pt idx="3">
                  <c:v>782.8130563836078</c:v>
                </c:pt>
                <c:pt idx="4">
                  <c:v>625.8064516117281</c:v>
                </c:pt>
                <c:pt idx="5">
                  <c:v>571.3807531375187</c:v>
                </c:pt>
                <c:pt idx="6">
                  <c:v>726.8072727285034</c:v>
                </c:pt>
                <c:pt idx="7">
                  <c:v>548.0</c:v>
                </c:pt>
                <c:pt idx="8">
                  <c:v>414.4807121655994</c:v>
                </c:pt>
                <c:pt idx="9">
                  <c:v>950.4441041323903</c:v>
                </c:pt>
                <c:pt idx="10">
                  <c:v>831.8396564089423</c:v>
                </c:pt>
                <c:pt idx="11">
                  <c:v>1270.402340889652</c:v>
                </c:pt>
                <c:pt idx="12">
                  <c:v>1638.246575339853</c:v>
                </c:pt>
                <c:pt idx="13">
                  <c:v>1518.891089115914</c:v>
                </c:pt>
                <c:pt idx="14">
                  <c:v>189.3425605528705</c:v>
                </c:pt>
                <c:pt idx="15">
                  <c:v>728.0</c:v>
                </c:pt>
                <c:pt idx="16">
                  <c:v>181.5652173922233</c:v>
                </c:pt>
                <c:pt idx="17">
                  <c:v>1373.708439892381</c:v>
                </c:pt>
                <c:pt idx="18">
                  <c:v>1397.110945646018</c:v>
                </c:pt>
                <c:pt idx="19">
                  <c:v>1359.406608222939</c:v>
                </c:pt>
                <c:pt idx="20">
                  <c:v>1403.215627346877</c:v>
                </c:pt>
                <c:pt idx="21">
                  <c:v>1577.142857145138</c:v>
                </c:pt>
                <c:pt idx="22">
                  <c:v>1303.185235815363</c:v>
                </c:pt>
                <c:pt idx="23">
                  <c:v>0.0</c:v>
                </c:pt>
                <c:pt idx="24">
                  <c:v>2621.767441860465</c:v>
                </c:pt>
                <c:pt idx="25">
                  <c:v>615.2224052734804</c:v>
                </c:pt>
                <c:pt idx="26">
                  <c:v>1394.347826080781</c:v>
                </c:pt>
                <c:pt idx="27">
                  <c:v>1248.000000003091</c:v>
                </c:pt>
              </c:numCache>
            </c:numRef>
          </c:val>
        </c:ser>
        <c:dLbls>
          <c:showLegendKey val="0"/>
          <c:showVal val="0"/>
          <c:showCatName val="0"/>
          <c:showSerName val="0"/>
          <c:showPercent val="0"/>
          <c:showBubbleSize val="0"/>
        </c:dLbls>
        <c:gapWidth val="10"/>
        <c:axId val="2107182248"/>
        <c:axId val="2107185224"/>
      </c:barChart>
      <c:scatterChart>
        <c:scatterStyle val="lineMarker"/>
        <c:varyColors val="0"/>
        <c:ser>
          <c:idx val="1"/>
          <c:order val="1"/>
          <c:tx>
            <c:strRef>
              <c:f>'Feb''15'!$D$2</c:f>
              <c:strCache>
                <c:ptCount val="1"/>
                <c:pt idx="0">
                  <c:v>CH4 (%)</c:v>
                </c:pt>
              </c:strCache>
            </c:strRef>
          </c:tx>
          <c:spPr>
            <a:ln w="47625">
              <a:noFill/>
            </a:ln>
          </c:spPr>
          <c:marker>
            <c:symbol val="square"/>
            <c:size val="9"/>
            <c:spPr>
              <a:solidFill>
                <a:schemeClr val="bg1"/>
              </a:solidFill>
              <a:ln w="19050" cmpd="sng">
                <a:solidFill>
                  <a:srgbClr val="0000FF"/>
                </a:solidFill>
              </a:ln>
            </c:spPr>
          </c:marker>
          <c:xVal>
            <c:numRef>
              <c:f>'Feb''15'!$B$3:$B$30</c:f>
              <c:numCache>
                <c:formatCode>0</c:formatCode>
                <c:ptCount val="28"/>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numCache>
            </c:numRef>
          </c:xVal>
          <c:yVal>
            <c:numRef>
              <c:f>'Feb''15'!$D$3:$D$30</c:f>
              <c:numCache>
                <c:formatCode>0.0</c:formatCode>
                <c:ptCount val="28"/>
                <c:pt idx="0">
                  <c:v>55.7</c:v>
                </c:pt>
                <c:pt idx="1">
                  <c:v>58.4</c:v>
                </c:pt>
                <c:pt idx="2">
                  <c:v>55.4</c:v>
                </c:pt>
                <c:pt idx="3">
                  <c:v>58.1</c:v>
                </c:pt>
                <c:pt idx="4">
                  <c:v>59.9</c:v>
                </c:pt>
                <c:pt idx="5">
                  <c:v>57.2</c:v>
                </c:pt>
                <c:pt idx="6">
                  <c:v>55.7</c:v>
                </c:pt>
                <c:pt idx="7">
                  <c:v>54.2</c:v>
                </c:pt>
                <c:pt idx="8">
                  <c:v>55.8</c:v>
                </c:pt>
                <c:pt idx="9">
                  <c:v>54.9</c:v>
                </c:pt>
                <c:pt idx="10">
                  <c:v>54.8</c:v>
                </c:pt>
                <c:pt idx="11">
                  <c:v>53.9</c:v>
                </c:pt>
                <c:pt idx="12">
                  <c:v>49.3</c:v>
                </c:pt>
                <c:pt idx="13">
                  <c:v>49.3</c:v>
                </c:pt>
                <c:pt idx="14">
                  <c:v>55.3</c:v>
                </c:pt>
                <c:pt idx="15">
                  <c:v>56.5</c:v>
                </c:pt>
                <c:pt idx="16">
                  <c:v>56.6</c:v>
                </c:pt>
                <c:pt idx="17">
                  <c:v>52.9</c:v>
                </c:pt>
                <c:pt idx="18">
                  <c:v>52.2</c:v>
                </c:pt>
                <c:pt idx="19">
                  <c:v>46.5</c:v>
                </c:pt>
                <c:pt idx="20">
                  <c:v>52.0</c:v>
                </c:pt>
                <c:pt idx="21">
                  <c:v>53.4</c:v>
                </c:pt>
                <c:pt idx="22">
                  <c:v>54.3</c:v>
                </c:pt>
                <c:pt idx="23">
                  <c:v>50.4</c:v>
                </c:pt>
                <c:pt idx="24">
                  <c:v>53.5</c:v>
                </c:pt>
                <c:pt idx="25">
                  <c:v>54.6</c:v>
                </c:pt>
                <c:pt idx="26">
                  <c:v>55.2</c:v>
                </c:pt>
                <c:pt idx="27">
                  <c:v>54.7</c:v>
                </c:pt>
              </c:numCache>
            </c:numRef>
          </c:yVal>
          <c:smooth val="0"/>
        </c:ser>
        <c:ser>
          <c:idx val="2"/>
          <c:order val="2"/>
          <c:tx>
            <c:strRef>
              <c:f>'Feb''15'!$E$2</c:f>
              <c:strCache>
                <c:ptCount val="1"/>
                <c:pt idx="0">
                  <c:v>H2S (ppm)</c:v>
                </c:pt>
              </c:strCache>
            </c:strRef>
          </c:tx>
          <c:spPr>
            <a:ln w="47625">
              <a:noFill/>
            </a:ln>
          </c:spPr>
          <c:marker>
            <c:symbol val="plus"/>
            <c:size val="9"/>
            <c:spPr>
              <a:ln>
                <a:solidFill>
                  <a:schemeClr val="tx1"/>
                </a:solidFill>
              </a:ln>
            </c:spPr>
          </c:marker>
          <c:dPt>
            <c:idx val="1"/>
            <c:marker>
              <c:spPr>
                <a:ln w="19050" cmpd="sng">
                  <a:solidFill>
                    <a:schemeClr val="tx1"/>
                  </a:solidFill>
                </a:ln>
              </c:spPr>
            </c:marker>
            <c:bubble3D val="0"/>
          </c:dPt>
          <c:xVal>
            <c:numRef>
              <c:f>'Feb''15'!$B$3:$B$30</c:f>
              <c:numCache>
                <c:formatCode>0</c:formatCode>
                <c:ptCount val="28"/>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numCache>
            </c:numRef>
          </c:xVal>
          <c:yVal>
            <c:numRef>
              <c:f>'Feb''15'!$E$3:$E$30</c:f>
              <c:numCache>
                <c:formatCode>0</c:formatCode>
                <c:ptCount val="28"/>
                <c:pt idx="0">
                  <c:v>155.0</c:v>
                </c:pt>
                <c:pt idx="1">
                  <c:v>130.0</c:v>
                </c:pt>
                <c:pt idx="2">
                  <c:v>110.0</c:v>
                </c:pt>
                <c:pt idx="3">
                  <c:v>125.0</c:v>
                </c:pt>
                <c:pt idx="4">
                  <c:v>70.0</c:v>
                </c:pt>
                <c:pt idx="5">
                  <c:v>100.0</c:v>
                </c:pt>
                <c:pt idx="6">
                  <c:v>75.0</c:v>
                </c:pt>
                <c:pt idx="7">
                  <c:v>95.0</c:v>
                </c:pt>
                <c:pt idx="8">
                  <c:v>105.0</c:v>
                </c:pt>
                <c:pt idx="9">
                  <c:v>170.0</c:v>
                </c:pt>
                <c:pt idx="10">
                  <c:v>180.0</c:v>
                </c:pt>
                <c:pt idx="11">
                  <c:v>220.0</c:v>
                </c:pt>
                <c:pt idx="12">
                  <c:v>220.0</c:v>
                </c:pt>
                <c:pt idx="13">
                  <c:v>340.0</c:v>
                </c:pt>
                <c:pt idx="14">
                  <c:v>195.0</c:v>
                </c:pt>
                <c:pt idx="15">
                  <c:v>95.0</c:v>
                </c:pt>
                <c:pt idx="16">
                  <c:v>245.0</c:v>
                </c:pt>
                <c:pt idx="17">
                  <c:v>260.0</c:v>
                </c:pt>
                <c:pt idx="18">
                  <c:v>245.0</c:v>
                </c:pt>
                <c:pt idx="19">
                  <c:v>290.0</c:v>
                </c:pt>
                <c:pt idx="20">
                  <c:v>270.0</c:v>
                </c:pt>
                <c:pt idx="21">
                  <c:v>280.0</c:v>
                </c:pt>
                <c:pt idx="22">
                  <c:v>270.0</c:v>
                </c:pt>
                <c:pt idx="23">
                  <c:v>345.0</c:v>
                </c:pt>
                <c:pt idx="24">
                  <c:v>340.0</c:v>
                </c:pt>
                <c:pt idx="25">
                  <c:v>260.0</c:v>
                </c:pt>
                <c:pt idx="26">
                  <c:v>210.0</c:v>
                </c:pt>
                <c:pt idx="27">
                  <c:v>185.0</c:v>
                </c:pt>
              </c:numCache>
            </c:numRef>
          </c:yVal>
          <c:smooth val="0"/>
        </c:ser>
        <c:dLbls>
          <c:showLegendKey val="0"/>
          <c:showVal val="0"/>
          <c:showCatName val="0"/>
          <c:showSerName val="0"/>
          <c:showPercent val="0"/>
          <c:showBubbleSize val="0"/>
        </c:dLbls>
        <c:axId val="2107196952"/>
        <c:axId val="2107191256"/>
      </c:scatterChart>
      <c:catAx>
        <c:axId val="2107182248"/>
        <c:scaling>
          <c:orientation val="minMax"/>
        </c:scaling>
        <c:delete val="0"/>
        <c:axPos val="b"/>
        <c:numFmt formatCode="0" sourceLinked="1"/>
        <c:majorTickMark val="out"/>
        <c:minorTickMark val="none"/>
        <c:tickLblPos val="nextTo"/>
        <c:crossAx val="2107185224"/>
        <c:crosses val="autoZero"/>
        <c:auto val="1"/>
        <c:lblAlgn val="ctr"/>
        <c:lblOffset val="100"/>
        <c:noMultiLvlLbl val="1"/>
      </c:catAx>
      <c:valAx>
        <c:axId val="2107185224"/>
        <c:scaling>
          <c:orientation val="minMax"/>
        </c:scaling>
        <c:delete val="0"/>
        <c:axPos val="l"/>
        <c:title>
          <c:tx>
            <c:rich>
              <a:bodyPr rot="-5400000" vert="horz"/>
              <a:lstStyle/>
              <a:p>
                <a:pPr>
                  <a:defRPr sz="1200"/>
                </a:pPr>
                <a:r>
                  <a:rPr lang="en-US" sz="1200"/>
                  <a:t>biogas volume</a:t>
                </a:r>
                <a:r>
                  <a:rPr lang="en-US" sz="1200" baseline="0"/>
                  <a:t> (m3/day)</a:t>
                </a:r>
                <a:endParaRPr lang="en-US" sz="1200"/>
              </a:p>
            </c:rich>
          </c:tx>
          <c:layout/>
          <c:overlay val="0"/>
        </c:title>
        <c:numFmt formatCode="#,##0" sourceLinked="1"/>
        <c:majorTickMark val="out"/>
        <c:minorTickMark val="none"/>
        <c:tickLblPos val="nextTo"/>
        <c:txPr>
          <a:bodyPr/>
          <a:lstStyle/>
          <a:p>
            <a:pPr>
              <a:defRPr sz="1200"/>
            </a:pPr>
            <a:endParaRPr lang="en-US"/>
          </a:p>
        </c:txPr>
        <c:crossAx val="2107182248"/>
        <c:crosses val="autoZero"/>
        <c:crossBetween val="between"/>
      </c:valAx>
      <c:valAx>
        <c:axId val="2107191256"/>
        <c:scaling>
          <c:orientation val="minMax"/>
          <c:max val="600.0"/>
        </c:scaling>
        <c:delete val="0"/>
        <c:axPos val="r"/>
        <c:title>
          <c:tx>
            <c:rich>
              <a:bodyPr rot="-5400000" vert="horz"/>
              <a:lstStyle/>
              <a:p>
                <a:pPr>
                  <a:defRPr sz="1200"/>
                </a:pPr>
                <a:r>
                  <a:rPr lang="en-US" sz="1200"/>
                  <a:t>methane (%), H2S</a:t>
                </a:r>
                <a:r>
                  <a:rPr lang="en-US" sz="1200" baseline="0"/>
                  <a:t> (ppm</a:t>
                </a:r>
                <a:endParaRPr lang="en-US" sz="1200"/>
              </a:p>
            </c:rich>
          </c:tx>
          <c:layout/>
          <c:overlay val="0"/>
        </c:title>
        <c:numFmt formatCode="0.0" sourceLinked="1"/>
        <c:majorTickMark val="out"/>
        <c:minorTickMark val="none"/>
        <c:tickLblPos val="nextTo"/>
        <c:txPr>
          <a:bodyPr/>
          <a:lstStyle/>
          <a:p>
            <a:pPr>
              <a:defRPr sz="1200"/>
            </a:pPr>
            <a:endParaRPr lang="en-US"/>
          </a:p>
        </c:txPr>
        <c:crossAx val="2107196952"/>
        <c:crosses val="max"/>
        <c:crossBetween val="midCat"/>
      </c:valAx>
      <c:valAx>
        <c:axId val="2107196952"/>
        <c:scaling>
          <c:orientation val="minMax"/>
        </c:scaling>
        <c:delete val="1"/>
        <c:axPos val="b"/>
        <c:numFmt formatCode="0" sourceLinked="1"/>
        <c:majorTickMark val="out"/>
        <c:minorTickMark val="none"/>
        <c:tickLblPos val="nextTo"/>
        <c:crossAx val="2107191256"/>
        <c:crosses val="autoZero"/>
        <c:crossBetween val="midCat"/>
      </c:valAx>
      <c:spPr>
        <a:noFill/>
        <a:ln>
          <a:noFill/>
        </a:ln>
      </c:spPr>
    </c:plotArea>
    <c:legend>
      <c:legendPos val="r"/>
      <c:layout>
        <c:manualLayout>
          <c:xMode val="edge"/>
          <c:yMode val="edge"/>
          <c:x val="0.107270180184532"/>
          <c:y val="0.283036876306947"/>
          <c:w val="0.208409062364137"/>
          <c:h val="0.160703780319213"/>
        </c:manualLayout>
      </c:layout>
      <c:overlay val="0"/>
      <c:txPr>
        <a:bodyPr/>
        <a:lstStyle/>
        <a:p>
          <a:pPr>
            <a:defRPr sz="1200"/>
          </a:pPr>
          <a:endParaRPr lang="en-US"/>
        </a:p>
      </c:txPr>
    </c:legend>
    <c:plotVisOnly val="1"/>
    <c:dispBlanksAs val="gap"/>
    <c:showDLblsOverMax val="0"/>
  </c:chart>
  <c:spPr>
    <a:noFill/>
    <a:ln>
      <a:noFill/>
    </a:ln>
  </c:spPr>
  <c:printSettings>
    <c:headerFooter/>
    <c:pageMargins b="1.0" l="0.75" r="0.75" t="1.0" header="0.5" footer="0.5"/>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strRef>
              <c:f>'Dec''15'!$C$2</c:f>
              <c:strCache>
                <c:ptCount val="1"/>
                <c:pt idx="0">
                  <c:v>biogas consumed (m3/day)</c:v>
                </c:pt>
              </c:strCache>
            </c:strRef>
          </c:tx>
          <c:spPr>
            <a:ln w="47625">
              <a:noFill/>
            </a:ln>
          </c:spPr>
          <c:invertIfNegative val="0"/>
          <c:val>
            <c:numRef>
              <c:f>'Dec''15'!$C$3:$C$32</c:f>
              <c:numCache>
                <c:formatCode>#,##0</c:formatCode>
                <c:ptCount val="30"/>
                <c:pt idx="0">
                  <c:v>1845.369863010756</c:v>
                </c:pt>
                <c:pt idx="1">
                  <c:v>1330.237762238845</c:v>
                </c:pt>
                <c:pt idx="2">
                  <c:v>1285.297297302352</c:v>
                </c:pt>
                <c:pt idx="3">
                  <c:v>1222.971428566344</c:v>
                </c:pt>
                <c:pt idx="4">
                  <c:v>1337.07540984117</c:v>
                </c:pt>
                <c:pt idx="5">
                  <c:v>1342.956521735732</c:v>
                </c:pt>
                <c:pt idx="6">
                  <c:v>1292.438162542043</c:v>
                </c:pt>
                <c:pt idx="7">
                  <c:v>1079.754601231621</c:v>
                </c:pt>
                <c:pt idx="8">
                  <c:v>1440.938722292249</c:v>
                </c:pt>
                <c:pt idx="9">
                  <c:v>1665.193687222368</c:v>
                </c:pt>
                <c:pt idx="10">
                  <c:v>2612.301313077058</c:v>
                </c:pt>
                <c:pt idx="11">
                  <c:v>2993.43544856548</c:v>
                </c:pt>
                <c:pt idx="12">
                  <c:v>2412.151898744841</c:v>
                </c:pt>
                <c:pt idx="13">
                  <c:v>1749.0</c:v>
                </c:pt>
                <c:pt idx="14">
                  <c:v>1893.551020403665</c:v>
                </c:pt>
                <c:pt idx="15">
                  <c:v>2362.0</c:v>
                </c:pt>
                <c:pt idx="16">
                  <c:v>1740.4</c:v>
                </c:pt>
                <c:pt idx="17">
                  <c:v>1945.6</c:v>
                </c:pt>
                <c:pt idx="18">
                  <c:v>2183.2</c:v>
                </c:pt>
                <c:pt idx="19">
                  <c:v>2561.7</c:v>
                </c:pt>
                <c:pt idx="20">
                  <c:v>2735.1</c:v>
                </c:pt>
                <c:pt idx="21">
                  <c:v>2559.0</c:v>
                </c:pt>
                <c:pt idx="22">
                  <c:v>2115.7</c:v>
                </c:pt>
                <c:pt idx="23">
                  <c:v>1226.6</c:v>
                </c:pt>
                <c:pt idx="24">
                  <c:v>1734.0</c:v>
                </c:pt>
                <c:pt idx="25">
                  <c:v>1493.0</c:v>
                </c:pt>
                <c:pt idx="26">
                  <c:v>1386.7</c:v>
                </c:pt>
                <c:pt idx="27">
                  <c:v>1195.2</c:v>
                </c:pt>
                <c:pt idx="28">
                  <c:v>1474.0</c:v>
                </c:pt>
                <c:pt idx="29">
                  <c:v>1687.0</c:v>
                </c:pt>
              </c:numCache>
            </c:numRef>
          </c:val>
        </c:ser>
        <c:ser>
          <c:idx val="1"/>
          <c:order val="1"/>
          <c:tx>
            <c:strRef>
              <c:f>'Dec''15'!$D$2</c:f>
              <c:strCache>
                <c:ptCount val="1"/>
                <c:pt idx="0">
                  <c:v>CH4 (%)</c:v>
                </c:pt>
              </c:strCache>
            </c:strRef>
          </c:tx>
          <c:invertIfNegative val="0"/>
          <c:val>
            <c:numRef>
              <c:f>'Dec''15'!$D$3:$D$32</c:f>
              <c:numCache>
                <c:formatCode>0.0</c:formatCode>
                <c:ptCount val="30"/>
                <c:pt idx="0">
                  <c:v>65.2</c:v>
                </c:pt>
                <c:pt idx="1">
                  <c:v>64.5</c:v>
                </c:pt>
                <c:pt idx="2">
                  <c:v>63.4</c:v>
                </c:pt>
                <c:pt idx="3">
                  <c:v>64.2</c:v>
                </c:pt>
                <c:pt idx="4">
                  <c:v>62.0</c:v>
                </c:pt>
                <c:pt idx="5">
                  <c:v>62.1</c:v>
                </c:pt>
                <c:pt idx="6">
                  <c:v>64.4</c:v>
                </c:pt>
                <c:pt idx="7">
                  <c:v>62.6</c:v>
                </c:pt>
                <c:pt idx="8">
                  <c:v>61.9</c:v>
                </c:pt>
                <c:pt idx="9">
                  <c:v>58.2</c:v>
                </c:pt>
                <c:pt idx="10">
                  <c:v>60.5</c:v>
                </c:pt>
                <c:pt idx="11">
                  <c:v>60.8</c:v>
                </c:pt>
                <c:pt idx="12">
                  <c:v>64.0</c:v>
                </c:pt>
                <c:pt idx="13">
                  <c:v>63.6</c:v>
                </c:pt>
                <c:pt idx="14">
                  <c:v>63.4</c:v>
                </c:pt>
                <c:pt idx="15">
                  <c:v>64.3</c:v>
                </c:pt>
                <c:pt idx="16">
                  <c:v>64.0</c:v>
                </c:pt>
                <c:pt idx="17">
                  <c:v>64.1</c:v>
                </c:pt>
                <c:pt idx="18">
                  <c:v>63.9</c:v>
                </c:pt>
                <c:pt idx="19">
                  <c:v>64.9</c:v>
                </c:pt>
                <c:pt idx="20">
                  <c:v>66.1</c:v>
                </c:pt>
                <c:pt idx="21">
                  <c:v>65.5</c:v>
                </c:pt>
                <c:pt idx="22">
                  <c:v>66.6</c:v>
                </c:pt>
                <c:pt idx="23">
                  <c:v>66.4</c:v>
                </c:pt>
                <c:pt idx="24">
                  <c:v>64.5</c:v>
                </c:pt>
                <c:pt idx="25">
                  <c:v>65.4</c:v>
                </c:pt>
                <c:pt idx="26">
                  <c:v>63.4</c:v>
                </c:pt>
                <c:pt idx="27">
                  <c:v>63.7</c:v>
                </c:pt>
                <c:pt idx="28">
                  <c:v>61.2</c:v>
                </c:pt>
                <c:pt idx="29">
                  <c:v>62.3</c:v>
                </c:pt>
              </c:numCache>
            </c:numRef>
          </c:val>
        </c:ser>
        <c:ser>
          <c:idx val="2"/>
          <c:order val="2"/>
          <c:tx>
            <c:strRef>
              <c:f>'Dec''15'!$E$2</c:f>
              <c:strCache>
                <c:ptCount val="1"/>
                <c:pt idx="0">
                  <c:v>H2S (ppm)</c:v>
                </c:pt>
              </c:strCache>
            </c:strRef>
          </c:tx>
          <c:invertIfNegative val="0"/>
          <c:val>
            <c:numRef>
              <c:f>'Dec''15'!$E$3:$E$32</c:f>
              <c:numCache>
                <c:formatCode>General</c:formatCode>
                <c:ptCount val="30"/>
                <c:pt idx="0">
                  <c:v>382.0</c:v>
                </c:pt>
                <c:pt idx="1">
                  <c:v>467.0</c:v>
                </c:pt>
                <c:pt idx="2">
                  <c:v>650.0</c:v>
                </c:pt>
                <c:pt idx="3">
                  <c:v>394.0</c:v>
                </c:pt>
                <c:pt idx="4">
                  <c:v>659.0</c:v>
                </c:pt>
                <c:pt idx="5">
                  <c:v>772.0</c:v>
                </c:pt>
                <c:pt idx="6">
                  <c:v>339.0</c:v>
                </c:pt>
                <c:pt idx="7">
                  <c:v>443.0</c:v>
                </c:pt>
                <c:pt idx="8">
                  <c:v>436.0</c:v>
                </c:pt>
                <c:pt idx="9">
                  <c:v>669.0</c:v>
                </c:pt>
                <c:pt idx="10">
                  <c:v>489.0</c:v>
                </c:pt>
                <c:pt idx="11">
                  <c:v>581.0</c:v>
                </c:pt>
                <c:pt idx="12">
                  <c:v>312.0</c:v>
                </c:pt>
                <c:pt idx="13">
                  <c:v>310.0</c:v>
                </c:pt>
                <c:pt idx="14">
                  <c:v>242.0</c:v>
                </c:pt>
                <c:pt idx="15" formatCode="0">
                  <c:v>200.0</c:v>
                </c:pt>
                <c:pt idx="16" formatCode="0">
                  <c:v>234.0</c:v>
                </c:pt>
                <c:pt idx="17" formatCode="0">
                  <c:v>138.0</c:v>
                </c:pt>
                <c:pt idx="18" formatCode="0">
                  <c:v>163.0</c:v>
                </c:pt>
                <c:pt idx="19" formatCode="0">
                  <c:v>102.0</c:v>
                </c:pt>
                <c:pt idx="20" formatCode="0">
                  <c:v>64.0</c:v>
                </c:pt>
                <c:pt idx="21" formatCode="0">
                  <c:v>110.0</c:v>
                </c:pt>
                <c:pt idx="22" formatCode="0">
                  <c:v>55.0</c:v>
                </c:pt>
                <c:pt idx="23" formatCode="0">
                  <c:v>121.0</c:v>
                </c:pt>
                <c:pt idx="24" formatCode="0">
                  <c:v>53.0</c:v>
                </c:pt>
                <c:pt idx="25" formatCode="0">
                  <c:v>110.0</c:v>
                </c:pt>
                <c:pt idx="26" formatCode="0">
                  <c:v>110.0</c:v>
                </c:pt>
                <c:pt idx="27" formatCode="0">
                  <c:v>73.0</c:v>
                </c:pt>
                <c:pt idx="28" formatCode="0">
                  <c:v>245.0</c:v>
                </c:pt>
                <c:pt idx="29" formatCode="0">
                  <c:v>241.0</c:v>
                </c:pt>
              </c:numCache>
            </c:numRef>
          </c:val>
        </c:ser>
        <c:dLbls>
          <c:showLegendKey val="0"/>
          <c:showVal val="0"/>
          <c:showCatName val="0"/>
          <c:showSerName val="0"/>
          <c:showPercent val="0"/>
          <c:showBubbleSize val="0"/>
        </c:dLbls>
        <c:gapWidth val="10"/>
        <c:axId val="2108482248"/>
        <c:axId val="2108485224"/>
      </c:barChart>
      <c:catAx>
        <c:axId val="2108482248"/>
        <c:scaling>
          <c:orientation val="minMax"/>
        </c:scaling>
        <c:delete val="0"/>
        <c:axPos val="b"/>
        <c:numFmt formatCode="0" sourceLinked="1"/>
        <c:majorTickMark val="out"/>
        <c:minorTickMark val="none"/>
        <c:tickLblPos val="nextTo"/>
        <c:crossAx val="2108485224"/>
        <c:crosses val="autoZero"/>
        <c:auto val="1"/>
        <c:lblAlgn val="ctr"/>
        <c:lblOffset val="100"/>
        <c:noMultiLvlLbl val="1"/>
      </c:catAx>
      <c:valAx>
        <c:axId val="2108485224"/>
        <c:scaling>
          <c:orientation val="minMax"/>
        </c:scaling>
        <c:delete val="0"/>
        <c:axPos val="l"/>
        <c:title>
          <c:tx>
            <c:rich>
              <a:bodyPr rot="-5400000" vert="horz"/>
              <a:lstStyle/>
              <a:p>
                <a:pPr>
                  <a:defRPr sz="1200"/>
                </a:pPr>
                <a:r>
                  <a:rPr lang="en-US" sz="1200"/>
                  <a:t>biogas volume</a:t>
                </a:r>
                <a:r>
                  <a:rPr lang="en-US" sz="1200" baseline="0"/>
                  <a:t> (m3/day)</a:t>
                </a:r>
                <a:endParaRPr lang="en-US" sz="1200"/>
              </a:p>
            </c:rich>
          </c:tx>
          <c:layout/>
          <c:overlay val="0"/>
        </c:title>
        <c:numFmt formatCode="#,##0" sourceLinked="1"/>
        <c:majorTickMark val="out"/>
        <c:minorTickMark val="none"/>
        <c:tickLblPos val="nextTo"/>
        <c:txPr>
          <a:bodyPr/>
          <a:lstStyle/>
          <a:p>
            <a:pPr>
              <a:defRPr sz="1200"/>
            </a:pPr>
            <a:endParaRPr lang="en-US"/>
          </a:p>
        </c:txPr>
        <c:crossAx val="2108482248"/>
        <c:crosses val="autoZero"/>
        <c:crossBetween val="between"/>
      </c:valAx>
    </c:plotArea>
    <c:legend>
      <c:legendPos val="r"/>
      <c:layout>
        <c:manualLayout>
          <c:xMode val="edge"/>
          <c:yMode val="edge"/>
          <c:x val="0.789478769141587"/>
          <c:y val="0.366370303378669"/>
          <c:w val="0.188605671223612"/>
          <c:h val="0.160703780319213"/>
        </c:manualLayout>
      </c:layout>
      <c:overlay val="0"/>
      <c:txPr>
        <a:bodyPr/>
        <a:lstStyle/>
        <a:p>
          <a:pPr>
            <a:defRPr sz="1200"/>
          </a:pPr>
          <a:endParaRPr lang="en-US"/>
        </a:p>
      </c:txPr>
    </c:legend>
    <c:plotVisOnly val="1"/>
    <c:dispBlanksAs val="gap"/>
    <c:showDLblsOverMax val="0"/>
  </c:chart>
  <c:printSettings>
    <c:headerFooter/>
    <c:pageMargins b="1.0" l="0.75" r="0.75" t="1.0"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1"/>
          <c:order val="1"/>
          <c:tx>
            <c:strRef>
              <c:f>'Dec''15'!$H$2</c:f>
              <c:strCache>
                <c:ptCount val="1"/>
                <c:pt idx="0">
                  <c:v>electricity produced (kWh/day)</c:v>
                </c:pt>
              </c:strCache>
            </c:strRef>
          </c:tx>
          <c:spPr>
            <a:ln w="47625">
              <a:noFill/>
            </a:ln>
          </c:spPr>
          <c:invertIfNegative val="0"/>
          <c:val>
            <c:numRef>
              <c:f>'Dec''15'!$H$3:$H$32</c:f>
              <c:numCache>
                <c:formatCode>#,##0</c:formatCode>
                <c:ptCount val="30"/>
                <c:pt idx="0">
                  <c:v>5947.397260264488</c:v>
                </c:pt>
                <c:pt idx="1">
                  <c:v>5237.370629374892</c:v>
                </c:pt>
                <c:pt idx="2">
                  <c:v>5060.432432452335</c:v>
                </c:pt>
                <c:pt idx="3">
                  <c:v>4658.399999980632</c:v>
                </c:pt>
                <c:pt idx="4">
                  <c:v>5093.350819691571</c:v>
                </c:pt>
                <c:pt idx="5">
                  <c:v>5306.08695650831</c:v>
                </c:pt>
                <c:pt idx="6">
                  <c:v>5027.279151935191</c:v>
                </c:pt>
                <c:pt idx="7">
                  <c:v>4118.77300615262</c:v>
                </c:pt>
                <c:pt idx="8">
                  <c:v>4163.233376785748</c:v>
                </c:pt>
                <c:pt idx="9">
                  <c:v>3535.954088934346</c:v>
                </c:pt>
                <c:pt idx="10" formatCode="_(* #,##0_);_(* \(#,##0\);_(* &quot;-&quot;??_);_(@_)">
                  <c:v>5569.923980682781</c:v>
                </c:pt>
                <c:pt idx="11" formatCode="_(* #,##0_);_(* \(#,##0\);_(* &quot;-&quot;??_);_(@_)">
                  <c:v>6437.461706757132</c:v>
                </c:pt>
                <c:pt idx="12" formatCode="_(* #,##0_);_(* \(#,##0\);_(* &quot;-&quot;??_);_(@_)">
                  <c:v>7149.367088639201</c:v>
                </c:pt>
                <c:pt idx="13" formatCode="_(* #,##0_);_(* \(#,##0\);_(* &quot;-&quot;??_);_(@_)">
                  <c:v>7026.0</c:v>
                </c:pt>
                <c:pt idx="14" formatCode="_(* #,##0_);_(* \(#,##0\);_(* &quot;-&quot;??_);_(@_)">
                  <c:v>7562.44897957387</c:v>
                </c:pt>
                <c:pt idx="15">
                  <c:v>7191.8</c:v>
                </c:pt>
                <c:pt idx="16">
                  <c:v>6861.5</c:v>
                </c:pt>
                <c:pt idx="17">
                  <c:v>8013.4</c:v>
                </c:pt>
                <c:pt idx="18">
                  <c:v>9039.299999999999</c:v>
                </c:pt>
                <c:pt idx="19">
                  <c:v>8939.1</c:v>
                </c:pt>
                <c:pt idx="20">
                  <c:v>8277.6</c:v>
                </c:pt>
                <c:pt idx="21">
                  <c:v>8880.9</c:v>
                </c:pt>
                <c:pt idx="22">
                  <c:v>7434.6</c:v>
                </c:pt>
                <c:pt idx="23">
                  <c:v>4012.6</c:v>
                </c:pt>
                <c:pt idx="24">
                  <c:v>6675.0</c:v>
                </c:pt>
                <c:pt idx="25">
                  <c:v>5339.0</c:v>
                </c:pt>
                <c:pt idx="26">
                  <c:v>5225.7</c:v>
                </c:pt>
                <c:pt idx="27">
                  <c:v>4620.0</c:v>
                </c:pt>
                <c:pt idx="28">
                  <c:v>5247.7</c:v>
                </c:pt>
                <c:pt idx="29">
                  <c:v>4514.3</c:v>
                </c:pt>
              </c:numCache>
            </c:numRef>
          </c:val>
        </c:ser>
        <c:dLbls>
          <c:showLegendKey val="0"/>
          <c:showVal val="0"/>
          <c:showCatName val="0"/>
          <c:showSerName val="0"/>
          <c:showPercent val="0"/>
          <c:showBubbleSize val="0"/>
        </c:dLbls>
        <c:gapWidth val="10"/>
        <c:axId val="2108517992"/>
        <c:axId val="2108523032"/>
      </c:barChart>
      <c:scatterChart>
        <c:scatterStyle val="lineMarker"/>
        <c:varyColors val="0"/>
        <c:ser>
          <c:idx val="0"/>
          <c:order val="0"/>
          <c:tx>
            <c:strRef>
              <c:f>'Dec''15'!$G$2</c:f>
              <c:strCache>
                <c:ptCount val="1"/>
                <c:pt idx="0">
                  <c:v>electricity consumed (kWh/day)</c:v>
                </c:pt>
              </c:strCache>
            </c:strRef>
          </c:tx>
          <c:spPr>
            <a:ln w="47625">
              <a:noFill/>
            </a:ln>
          </c:spPr>
          <c:marker>
            <c:symbol val="circle"/>
            <c:size val="12"/>
            <c:spPr>
              <a:solidFill>
                <a:schemeClr val="bg1"/>
              </a:solidFill>
              <a:ln>
                <a:solidFill>
                  <a:srgbClr val="FF0000"/>
                </a:solidFill>
              </a:ln>
            </c:spPr>
          </c:marker>
          <c:yVal>
            <c:numRef>
              <c:f>'Dec''15'!$G$3:$G$32</c:f>
              <c:numCache>
                <c:formatCode>#,##0</c:formatCode>
                <c:ptCount val="30"/>
                <c:pt idx="0">
                  <c:v>686.4657534235628</c:v>
                </c:pt>
                <c:pt idx="1">
                  <c:v>771.3566433572712</c:v>
                </c:pt>
                <c:pt idx="2">
                  <c:v>745.2972973002285</c:v>
                </c:pt>
                <c:pt idx="3">
                  <c:v>601.714285711784</c:v>
                </c:pt>
                <c:pt idx="4">
                  <c:v>609.993442625279</c:v>
                </c:pt>
                <c:pt idx="5">
                  <c:v>566.60869565074</c:v>
                </c:pt>
                <c:pt idx="6">
                  <c:v>564.805653709318</c:v>
                </c:pt>
                <c:pt idx="7">
                  <c:v>701.8404908005535</c:v>
                </c:pt>
                <c:pt idx="8">
                  <c:v>623.3116036495461</c:v>
                </c:pt>
                <c:pt idx="9">
                  <c:v>481.3773314178806</c:v>
                </c:pt>
                <c:pt idx="10" formatCode="_(* #,##0_);_(* \(#,##0\);_(* &quot;-&quot;??_);_(@_)">
                  <c:v>480.6634416061789</c:v>
                </c:pt>
                <c:pt idx="11" formatCode="_(* #,##0_);_(* \(#,##0\);_(* &quot;-&quot;??_);_(@_)">
                  <c:v>474.7483588602094</c:v>
                </c:pt>
                <c:pt idx="12" formatCode="_(* #,##0_);_(* \(#,##0\);_(* &quot;-&quot;??_);_(@_)">
                  <c:v>465.8227848121859</c:v>
                </c:pt>
                <c:pt idx="13" formatCode="_(* #,##0_);_(* \(#,##0\);_(* &quot;-&quot;??_);_(@_)">
                  <c:v>537.0</c:v>
                </c:pt>
                <c:pt idx="14" formatCode="_(* #,##0_);_(* \(#,##0\);_(* &quot;-&quot;??_);_(@_)">
                  <c:v>587.7551020394199</c:v>
                </c:pt>
                <c:pt idx="15">
                  <c:v>489.2</c:v>
                </c:pt>
                <c:pt idx="16">
                  <c:v>497.6</c:v>
                </c:pt>
                <c:pt idx="17">
                  <c:v>574.4</c:v>
                </c:pt>
                <c:pt idx="18">
                  <c:v>574.8</c:v>
                </c:pt>
                <c:pt idx="19">
                  <c:v>620.5</c:v>
                </c:pt>
                <c:pt idx="20">
                  <c:v>526.1</c:v>
                </c:pt>
                <c:pt idx="21">
                  <c:v>535.5</c:v>
                </c:pt>
                <c:pt idx="22">
                  <c:v>554.6</c:v>
                </c:pt>
                <c:pt idx="23">
                  <c:v>547.3</c:v>
                </c:pt>
                <c:pt idx="24">
                  <c:v>536.0</c:v>
                </c:pt>
                <c:pt idx="25">
                  <c:v>506.0</c:v>
                </c:pt>
                <c:pt idx="26">
                  <c:v>550.1</c:v>
                </c:pt>
                <c:pt idx="27">
                  <c:v>576.8</c:v>
                </c:pt>
                <c:pt idx="28">
                  <c:v>603.1</c:v>
                </c:pt>
                <c:pt idx="29">
                  <c:v>576.0</c:v>
                </c:pt>
              </c:numCache>
            </c:numRef>
          </c:yVal>
          <c:smooth val="0"/>
        </c:ser>
        <c:dLbls>
          <c:showLegendKey val="0"/>
          <c:showVal val="0"/>
          <c:showCatName val="0"/>
          <c:showSerName val="0"/>
          <c:showPercent val="0"/>
          <c:showBubbleSize val="0"/>
        </c:dLbls>
        <c:axId val="2108517992"/>
        <c:axId val="2108523032"/>
      </c:scatterChart>
      <c:catAx>
        <c:axId val="2108517992"/>
        <c:scaling>
          <c:orientation val="minMax"/>
        </c:scaling>
        <c:delete val="0"/>
        <c:axPos val="b"/>
        <c:numFmt formatCode="0" sourceLinked="1"/>
        <c:majorTickMark val="out"/>
        <c:minorTickMark val="none"/>
        <c:tickLblPos val="nextTo"/>
        <c:crossAx val="2108523032"/>
        <c:crosses val="autoZero"/>
        <c:auto val="1"/>
        <c:lblAlgn val="ctr"/>
        <c:lblOffset val="100"/>
        <c:noMultiLvlLbl val="1"/>
      </c:catAx>
      <c:valAx>
        <c:axId val="2108523032"/>
        <c:scaling>
          <c:orientation val="minMax"/>
        </c:scaling>
        <c:delete val="0"/>
        <c:axPos val="l"/>
        <c:title>
          <c:tx>
            <c:rich>
              <a:bodyPr rot="-5400000" vert="horz"/>
              <a:lstStyle/>
              <a:p>
                <a:pPr>
                  <a:defRPr sz="1200"/>
                </a:pPr>
                <a:r>
                  <a:rPr lang="en-US" sz="1200"/>
                  <a:t>electricity</a:t>
                </a:r>
                <a:r>
                  <a:rPr lang="en-US" sz="1200" baseline="0"/>
                  <a:t> (kWh/day)</a:t>
                </a:r>
                <a:endParaRPr lang="en-US" sz="1200"/>
              </a:p>
            </c:rich>
          </c:tx>
          <c:overlay val="0"/>
        </c:title>
        <c:numFmt formatCode="#,##0" sourceLinked="1"/>
        <c:majorTickMark val="out"/>
        <c:minorTickMark val="none"/>
        <c:tickLblPos val="nextTo"/>
        <c:txPr>
          <a:bodyPr/>
          <a:lstStyle/>
          <a:p>
            <a:pPr>
              <a:defRPr sz="1200"/>
            </a:pPr>
            <a:endParaRPr lang="en-US"/>
          </a:p>
        </c:txPr>
        <c:crossAx val="2108517992"/>
        <c:crosses val="autoZero"/>
        <c:crossBetween val="between"/>
      </c:valAx>
    </c:plotArea>
    <c:legend>
      <c:legendPos val="r"/>
      <c:layout>
        <c:manualLayout>
          <c:xMode val="edge"/>
          <c:yMode val="edge"/>
          <c:x val="0.76506328227396"/>
          <c:y val="0.362752590606079"/>
          <c:w val="0.230977398473221"/>
          <c:h val="0.181357671733435"/>
        </c:manualLayout>
      </c:layout>
      <c:overlay val="0"/>
      <c:txPr>
        <a:bodyPr/>
        <a:lstStyle/>
        <a:p>
          <a:pPr>
            <a:defRPr sz="1200"/>
          </a:pPr>
          <a:endParaRPr lang="en-US"/>
        </a:p>
      </c:txPr>
    </c:legend>
    <c:plotVisOnly val="1"/>
    <c:dispBlanksAs val="gap"/>
    <c:showDLblsOverMax val="0"/>
  </c:chart>
  <c:printSettings>
    <c:headerFooter/>
    <c:pageMargins b="1.0" l="0.75" r="0.75" t="1.0" header="0.5" footer="0.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plotArea>
      <c:layout/>
      <c:scatterChart>
        <c:scatterStyle val="lineMarker"/>
        <c:varyColors val="0"/>
        <c:ser>
          <c:idx val="0"/>
          <c:order val="0"/>
          <c:tx>
            <c:strRef>
              <c:f>'Dec''15'!$N$2</c:f>
              <c:strCache>
                <c:ptCount val="1"/>
                <c:pt idx="0">
                  <c:v>AD Ripley ratio</c:v>
                </c:pt>
              </c:strCache>
            </c:strRef>
          </c:tx>
          <c:spPr>
            <a:ln w="47625">
              <a:noFill/>
            </a:ln>
          </c:spPr>
          <c:xVal>
            <c:numRef>
              <c:f>'Dec''15'!$M$3:$M$32</c:f>
              <c:numCache>
                <c:formatCode>0.00</c:formatCode>
                <c:ptCount val="30"/>
              </c:numCache>
            </c:numRef>
          </c:xVal>
          <c:yVal>
            <c:numRef>
              <c:f>'Dec''15'!$N$3:$N$32</c:f>
              <c:numCache>
                <c:formatCode>0.00</c:formatCode>
                <c:ptCount val="30"/>
                <c:pt idx="1">
                  <c:v>0.392159916926272</c:v>
                </c:pt>
                <c:pt idx="10">
                  <c:v>0.46</c:v>
                </c:pt>
              </c:numCache>
            </c:numRef>
          </c:yVal>
          <c:smooth val="0"/>
        </c:ser>
        <c:dLbls>
          <c:showLegendKey val="0"/>
          <c:showVal val="0"/>
          <c:showCatName val="0"/>
          <c:showSerName val="0"/>
          <c:showPercent val="0"/>
          <c:showBubbleSize val="0"/>
        </c:dLbls>
        <c:axId val="2106777848"/>
        <c:axId val="2106774840"/>
      </c:scatterChart>
      <c:valAx>
        <c:axId val="2106777848"/>
        <c:scaling>
          <c:orientation val="minMax"/>
          <c:max val="30.0"/>
        </c:scaling>
        <c:delete val="0"/>
        <c:axPos val="b"/>
        <c:numFmt formatCode="0.00" sourceLinked="1"/>
        <c:majorTickMark val="out"/>
        <c:minorTickMark val="none"/>
        <c:tickLblPos val="nextTo"/>
        <c:crossAx val="2106774840"/>
        <c:crosses val="autoZero"/>
        <c:crossBetween val="midCat"/>
      </c:valAx>
      <c:valAx>
        <c:axId val="2106774840"/>
        <c:scaling>
          <c:orientation val="minMax"/>
          <c:max val="0.9"/>
        </c:scaling>
        <c:delete val="0"/>
        <c:axPos val="l"/>
        <c:title>
          <c:tx>
            <c:rich>
              <a:bodyPr rot="-5400000" vert="horz"/>
              <a:lstStyle/>
              <a:p>
                <a:pPr>
                  <a:defRPr sz="1200"/>
                </a:pPr>
                <a:r>
                  <a:rPr lang="en-US" sz="1200"/>
                  <a:t>Ripley ratio </a:t>
                </a:r>
              </a:p>
            </c:rich>
          </c:tx>
          <c:overlay val="0"/>
        </c:title>
        <c:numFmt formatCode="0.00" sourceLinked="1"/>
        <c:majorTickMark val="out"/>
        <c:minorTickMark val="none"/>
        <c:tickLblPos val="nextTo"/>
        <c:txPr>
          <a:bodyPr/>
          <a:lstStyle/>
          <a:p>
            <a:pPr>
              <a:defRPr sz="1200" b="1" i="0"/>
            </a:pPr>
            <a:endParaRPr lang="en-US"/>
          </a:p>
        </c:txPr>
        <c:crossAx val="2106777848"/>
        <c:crosses val="autoZero"/>
        <c:crossBetween val="midCat"/>
      </c:valAx>
    </c:plotArea>
    <c:legend>
      <c:legendPos val="r"/>
      <c:overlay val="0"/>
    </c:legend>
    <c:plotVisOnly val="1"/>
    <c:dispBlanksAs val="gap"/>
    <c:showDLblsOverMax val="0"/>
  </c:chart>
  <c:printSettings>
    <c:headerFooter/>
    <c:pageMargins b="1.0" l="0.75" r="0.75" t="1.0" header="0.5" footer="0.5"/>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plotArea>
      <c:layout/>
      <c:scatterChart>
        <c:scatterStyle val="lineMarker"/>
        <c:varyColors val="0"/>
        <c:ser>
          <c:idx val="0"/>
          <c:order val="0"/>
          <c:tx>
            <c:strRef>
              <c:f>'Dec''15'!$K$2</c:f>
              <c:strCache>
                <c:ptCount val="1"/>
                <c:pt idx="0">
                  <c:v>AD pH</c:v>
                </c:pt>
              </c:strCache>
            </c:strRef>
          </c:tx>
          <c:spPr>
            <a:ln w="47625">
              <a:noFill/>
            </a:ln>
          </c:spPr>
          <c:marker>
            <c:symbol val="triangle"/>
            <c:size val="15"/>
            <c:spPr>
              <a:solidFill>
                <a:schemeClr val="bg1"/>
              </a:solidFill>
              <a:ln>
                <a:solidFill>
                  <a:srgbClr val="0000FF"/>
                </a:solidFill>
              </a:ln>
            </c:spPr>
          </c:marker>
          <c:xVal>
            <c:numRef>
              <c:f>'Dec''15'!$J$3:$J$32</c:f>
              <c:numCache>
                <c:formatCode>0.00</c:formatCode>
                <c:ptCount val="30"/>
                <c:pt idx="0">
                  <c:v>5.21</c:v>
                </c:pt>
                <c:pt idx="1">
                  <c:v>4.99</c:v>
                </c:pt>
                <c:pt idx="2">
                  <c:v>5.07</c:v>
                </c:pt>
                <c:pt idx="3">
                  <c:v>5.07</c:v>
                </c:pt>
                <c:pt idx="4">
                  <c:v>4.97</c:v>
                </c:pt>
                <c:pt idx="5">
                  <c:v>4.99</c:v>
                </c:pt>
                <c:pt idx="6">
                  <c:v>5.08</c:v>
                </c:pt>
                <c:pt idx="7">
                  <c:v>5.01</c:v>
                </c:pt>
                <c:pt idx="8">
                  <c:v>4.93</c:v>
                </c:pt>
                <c:pt idx="9">
                  <c:v>4.78</c:v>
                </c:pt>
                <c:pt idx="10">
                  <c:v>4.68</c:v>
                </c:pt>
                <c:pt idx="11">
                  <c:v>4.72</c:v>
                </c:pt>
                <c:pt idx="12">
                  <c:v>4.7</c:v>
                </c:pt>
                <c:pt idx="13">
                  <c:v>4.7</c:v>
                </c:pt>
                <c:pt idx="14">
                  <c:v>4.84</c:v>
                </c:pt>
                <c:pt idx="15">
                  <c:v>4.7</c:v>
                </c:pt>
                <c:pt idx="16">
                  <c:v>4.76</c:v>
                </c:pt>
                <c:pt idx="17">
                  <c:v>4.68</c:v>
                </c:pt>
                <c:pt idx="18">
                  <c:v>4.71</c:v>
                </c:pt>
                <c:pt idx="20">
                  <c:v>5.05</c:v>
                </c:pt>
                <c:pt idx="21">
                  <c:v>5.3</c:v>
                </c:pt>
                <c:pt idx="22">
                  <c:v>5.23</c:v>
                </c:pt>
                <c:pt idx="23">
                  <c:v>5.23</c:v>
                </c:pt>
                <c:pt idx="24">
                  <c:v>5.1</c:v>
                </c:pt>
                <c:pt idx="25">
                  <c:v>5.42</c:v>
                </c:pt>
                <c:pt idx="26">
                  <c:v>5.33</c:v>
                </c:pt>
                <c:pt idx="27">
                  <c:v>5.37</c:v>
                </c:pt>
                <c:pt idx="28">
                  <c:v>5.22</c:v>
                </c:pt>
                <c:pt idx="29">
                  <c:v>5.18</c:v>
                </c:pt>
              </c:numCache>
            </c:numRef>
          </c:xVal>
          <c:yVal>
            <c:numRef>
              <c:f>'Dec''15'!$K$3:$K$32</c:f>
              <c:numCache>
                <c:formatCode>0.00</c:formatCode>
                <c:ptCount val="30"/>
                <c:pt idx="0">
                  <c:v>7.1</c:v>
                </c:pt>
                <c:pt idx="1">
                  <c:v>7.04</c:v>
                </c:pt>
                <c:pt idx="2">
                  <c:v>7.12</c:v>
                </c:pt>
                <c:pt idx="3">
                  <c:v>7.13</c:v>
                </c:pt>
                <c:pt idx="4">
                  <c:v>7.15</c:v>
                </c:pt>
                <c:pt idx="5">
                  <c:v>7.04</c:v>
                </c:pt>
                <c:pt idx="6">
                  <c:v>7.07</c:v>
                </c:pt>
                <c:pt idx="7">
                  <c:v>7.14</c:v>
                </c:pt>
                <c:pt idx="8">
                  <c:v>7.15</c:v>
                </c:pt>
                <c:pt idx="9">
                  <c:v>7.1</c:v>
                </c:pt>
                <c:pt idx="10">
                  <c:v>7.13</c:v>
                </c:pt>
                <c:pt idx="11">
                  <c:v>7.1</c:v>
                </c:pt>
                <c:pt idx="12">
                  <c:v>7.04</c:v>
                </c:pt>
                <c:pt idx="13">
                  <c:v>7.01</c:v>
                </c:pt>
                <c:pt idx="14">
                  <c:v>7.13</c:v>
                </c:pt>
                <c:pt idx="15">
                  <c:v>7.03</c:v>
                </c:pt>
                <c:pt idx="16">
                  <c:v>7.04</c:v>
                </c:pt>
                <c:pt idx="17">
                  <c:v>7.02</c:v>
                </c:pt>
                <c:pt idx="18">
                  <c:v>7.0</c:v>
                </c:pt>
                <c:pt idx="19">
                  <c:v>7.02</c:v>
                </c:pt>
                <c:pt idx="20">
                  <c:v>7.03</c:v>
                </c:pt>
                <c:pt idx="21">
                  <c:v>6.98</c:v>
                </c:pt>
                <c:pt idx="22">
                  <c:v>7.02</c:v>
                </c:pt>
                <c:pt idx="23">
                  <c:v>7.03</c:v>
                </c:pt>
                <c:pt idx="24">
                  <c:v>7.01</c:v>
                </c:pt>
                <c:pt idx="25">
                  <c:v>7.05</c:v>
                </c:pt>
                <c:pt idx="26">
                  <c:v>7.1</c:v>
                </c:pt>
                <c:pt idx="27">
                  <c:v>7.04</c:v>
                </c:pt>
                <c:pt idx="28">
                  <c:v>7.18</c:v>
                </c:pt>
                <c:pt idx="29">
                  <c:v>6.99</c:v>
                </c:pt>
              </c:numCache>
            </c:numRef>
          </c:yVal>
          <c:smooth val="0"/>
        </c:ser>
        <c:dLbls>
          <c:showLegendKey val="0"/>
          <c:showVal val="0"/>
          <c:showCatName val="0"/>
          <c:showSerName val="0"/>
          <c:showPercent val="0"/>
          <c:showBubbleSize val="0"/>
        </c:dLbls>
        <c:axId val="2103275528"/>
        <c:axId val="2103281064"/>
      </c:scatterChart>
      <c:valAx>
        <c:axId val="2103275528"/>
        <c:scaling>
          <c:orientation val="minMax"/>
          <c:max val="30.0"/>
        </c:scaling>
        <c:delete val="0"/>
        <c:axPos val="b"/>
        <c:numFmt formatCode="0.00" sourceLinked="1"/>
        <c:majorTickMark val="out"/>
        <c:minorTickMark val="none"/>
        <c:tickLblPos val="nextTo"/>
        <c:txPr>
          <a:bodyPr/>
          <a:lstStyle/>
          <a:p>
            <a:pPr>
              <a:defRPr sz="1000" b="0" i="0"/>
            </a:pPr>
            <a:endParaRPr lang="en-US"/>
          </a:p>
        </c:txPr>
        <c:crossAx val="2103281064"/>
        <c:crosses val="autoZero"/>
        <c:crossBetween val="midCat"/>
      </c:valAx>
      <c:valAx>
        <c:axId val="2103281064"/>
        <c:scaling>
          <c:orientation val="minMax"/>
          <c:max val="8.0"/>
          <c:min val="4.0"/>
        </c:scaling>
        <c:delete val="0"/>
        <c:axPos val="l"/>
        <c:title>
          <c:tx>
            <c:rich>
              <a:bodyPr rot="-5400000" vert="horz"/>
              <a:lstStyle/>
              <a:p>
                <a:pPr>
                  <a:defRPr sz="1200"/>
                </a:pPr>
                <a:r>
                  <a:rPr lang="en-US" sz="1200"/>
                  <a:t>pH</a:t>
                </a:r>
              </a:p>
            </c:rich>
          </c:tx>
          <c:overlay val="0"/>
        </c:title>
        <c:numFmt formatCode="0.00" sourceLinked="1"/>
        <c:majorTickMark val="out"/>
        <c:minorTickMark val="none"/>
        <c:tickLblPos val="nextTo"/>
        <c:txPr>
          <a:bodyPr/>
          <a:lstStyle/>
          <a:p>
            <a:pPr>
              <a:defRPr sz="1200" b="1" i="0"/>
            </a:pPr>
            <a:endParaRPr lang="en-US"/>
          </a:p>
        </c:txPr>
        <c:crossAx val="2103275528"/>
        <c:crosses val="autoZero"/>
        <c:crossBetween val="midCat"/>
      </c:valAx>
    </c:plotArea>
    <c:legend>
      <c:legendPos val="r"/>
      <c:overlay val="0"/>
    </c:legend>
    <c:plotVisOnly val="1"/>
    <c:dispBlanksAs val="gap"/>
    <c:showDLblsOverMax val="0"/>
  </c:chart>
  <c:printSettings>
    <c:headerFooter/>
    <c:pageMargins b="1.0" l="0.75" r="0.75" t="1.0" header="0.5" footer="0.5"/>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stacked"/>
        <c:varyColors val="0"/>
        <c:ser>
          <c:idx val="0"/>
          <c:order val="0"/>
          <c:tx>
            <c:strRef>
              <c:f>'Jun''15'!$O$2</c:f>
              <c:strCache>
                <c:ptCount val="1"/>
                <c:pt idx="0">
                  <c:v>Hydrolyzer TA (mg/L CaCO3)</c:v>
                </c:pt>
              </c:strCache>
            </c:strRef>
          </c:tx>
          <c:spPr>
            <a:ln w="47625">
              <a:noFill/>
            </a:ln>
          </c:spPr>
          <c:invertIfNegative val="0"/>
          <c:cat>
            <c:numRef>
              <c:f>'Jun''15'!$N$3:$N$32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cat>
          <c:val>
            <c:numRef>
              <c:f>'Jun''15'!$O$3:$O$32</c:f>
              <c:numCache>
                <c:formatCode>_(* #,##0_);_(* \(#,##0\);_(* "-"??_);_(@_)</c:formatCode>
                <c:ptCount val="30"/>
                <c:pt idx="3">
                  <c:v>2837.5</c:v>
                </c:pt>
                <c:pt idx="11">
                  <c:v>1766.666666666667</c:v>
                </c:pt>
                <c:pt idx="17">
                  <c:v>2225.0</c:v>
                </c:pt>
                <c:pt idx="25">
                  <c:v>2308.333333333333</c:v>
                </c:pt>
              </c:numCache>
            </c:numRef>
          </c:val>
        </c:ser>
        <c:ser>
          <c:idx val="3"/>
          <c:order val="2"/>
          <c:tx>
            <c:strRef>
              <c:f>'Jun''15'!$R$2</c:f>
              <c:strCache>
                <c:ptCount val="1"/>
                <c:pt idx="0">
                  <c:v>AD TA (mg/L CaCO3)</c:v>
                </c:pt>
              </c:strCache>
            </c:strRef>
          </c:tx>
          <c:spPr>
            <a:ln w="47625">
              <a:noFill/>
            </a:ln>
          </c:spPr>
          <c:invertIfNegative val="0"/>
          <c:cat>
            <c:numRef>
              <c:f>'Jun''15'!$N$3:$N$32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cat>
          <c:val>
            <c:numRef>
              <c:f>'Jun''15'!$R$3:$R$32</c:f>
              <c:numCache>
                <c:formatCode>_(* #,##0_);_(* \(#,##0\);_(* "-"??_);_(@_)</c:formatCode>
                <c:ptCount val="30"/>
                <c:pt idx="3">
                  <c:v>5725.0</c:v>
                </c:pt>
                <c:pt idx="11">
                  <c:v>5179.166666666666</c:v>
                </c:pt>
                <c:pt idx="17">
                  <c:v>5150.0</c:v>
                </c:pt>
                <c:pt idx="25">
                  <c:v>5441.666666666666</c:v>
                </c:pt>
                <c:pt idx="29">
                  <c:v>5433.333333333333</c:v>
                </c:pt>
              </c:numCache>
            </c:numRef>
          </c:val>
        </c:ser>
        <c:ser>
          <c:idx val="1"/>
          <c:order val="1"/>
          <c:tx>
            <c:strRef>
              <c:f>'Jun''15'!$P$2</c:f>
              <c:strCache>
                <c:ptCount val="1"/>
                <c:pt idx="0">
                  <c:v>hydrolyzer PA (mg/L CaCO3)</c:v>
                </c:pt>
              </c:strCache>
            </c:strRef>
          </c:tx>
          <c:spPr>
            <a:ln w="47625">
              <a:noFill/>
            </a:ln>
          </c:spPr>
          <c:invertIfNegative val="0"/>
          <c:val>
            <c:numRef>
              <c:f>'Jun''15'!$P$3:$P$32</c:f>
              <c:numCache>
                <c:formatCode>_(* #,##0_);_(* \(#,##0\);_(* "-"??_);_(@_)</c:formatCode>
                <c:ptCount val="30"/>
              </c:numCache>
            </c:numRef>
          </c:val>
        </c:ser>
        <c:ser>
          <c:idx val="4"/>
          <c:order val="3"/>
          <c:tx>
            <c:strRef>
              <c:f>'Jun''15'!$S$2</c:f>
              <c:strCache>
                <c:ptCount val="1"/>
                <c:pt idx="0">
                  <c:v>AD PA (mg/L CaCO3)</c:v>
                </c:pt>
              </c:strCache>
            </c:strRef>
          </c:tx>
          <c:spPr>
            <a:ln w="47625">
              <a:noFill/>
            </a:ln>
          </c:spPr>
          <c:invertIfNegative val="0"/>
          <c:val>
            <c:numRef>
              <c:f>'Jun''15'!$S$3:$S$32</c:f>
              <c:numCache>
                <c:formatCode>_(* #,##0_);_(* \(#,##0\);_(* "-"??_);_(@_)</c:formatCode>
                <c:ptCount val="30"/>
                <c:pt idx="3">
                  <c:v>2825.0</c:v>
                </c:pt>
                <c:pt idx="11">
                  <c:v>2650.0</c:v>
                </c:pt>
                <c:pt idx="17">
                  <c:v>2733.333333333333</c:v>
                </c:pt>
                <c:pt idx="25">
                  <c:v>2875.0</c:v>
                </c:pt>
                <c:pt idx="29">
                  <c:v>3008.333333333333</c:v>
                </c:pt>
              </c:numCache>
            </c:numRef>
          </c:val>
        </c:ser>
        <c:ser>
          <c:idx val="5"/>
          <c:order val="4"/>
          <c:tx>
            <c:strRef>
              <c:f>'Jun''15'!$T$2</c:f>
              <c:strCache>
                <c:ptCount val="1"/>
                <c:pt idx="0">
                  <c:v>AD IA (mg/L CaCO3)</c:v>
                </c:pt>
              </c:strCache>
            </c:strRef>
          </c:tx>
          <c:spPr>
            <a:ln w="47625">
              <a:noFill/>
            </a:ln>
          </c:spPr>
          <c:invertIfNegative val="0"/>
          <c:val>
            <c:numRef>
              <c:f>'Jun''15'!$T$3:$T$32</c:f>
              <c:numCache>
                <c:formatCode>_(* #,##0_);_(* \(#,##0\);_(* "-"??_);_(@_)</c:formatCode>
                <c:ptCount val="30"/>
                <c:pt idx="3">
                  <c:v>2416.666666666667</c:v>
                </c:pt>
                <c:pt idx="11">
                  <c:v>2108.333333333333</c:v>
                </c:pt>
                <c:pt idx="17">
                  <c:v>2000.0</c:v>
                </c:pt>
                <c:pt idx="25">
                  <c:v>2191.666666666667</c:v>
                </c:pt>
                <c:pt idx="29">
                  <c:v>1908.333333333333</c:v>
                </c:pt>
              </c:numCache>
            </c:numRef>
          </c:val>
        </c:ser>
        <c:dLbls>
          <c:showLegendKey val="0"/>
          <c:showVal val="0"/>
          <c:showCatName val="0"/>
          <c:showSerName val="0"/>
          <c:showPercent val="0"/>
          <c:showBubbleSize val="0"/>
        </c:dLbls>
        <c:gapWidth val="10"/>
        <c:overlap val="100"/>
        <c:axId val="2108569240"/>
        <c:axId val="2108572360"/>
      </c:barChart>
      <c:catAx>
        <c:axId val="2108569240"/>
        <c:scaling>
          <c:orientation val="minMax"/>
        </c:scaling>
        <c:delete val="0"/>
        <c:axPos val="b"/>
        <c:numFmt formatCode="0" sourceLinked="1"/>
        <c:majorTickMark val="out"/>
        <c:minorTickMark val="none"/>
        <c:tickLblPos val="nextTo"/>
        <c:crossAx val="2108572360"/>
        <c:crosses val="autoZero"/>
        <c:auto val="1"/>
        <c:lblAlgn val="ctr"/>
        <c:lblOffset val="100"/>
        <c:noMultiLvlLbl val="0"/>
      </c:catAx>
      <c:valAx>
        <c:axId val="2108572360"/>
        <c:scaling>
          <c:orientation val="minMax"/>
        </c:scaling>
        <c:delete val="0"/>
        <c:axPos val="l"/>
        <c:numFmt formatCode="_(* #,##0_);_(* \(#,##0\);_(* &quot;-&quot;??_);_(@_)" sourceLinked="1"/>
        <c:majorTickMark val="out"/>
        <c:minorTickMark val="none"/>
        <c:tickLblPos val="nextTo"/>
        <c:crossAx val="2108569240"/>
        <c:crosses val="autoZero"/>
        <c:crossBetween val="between"/>
      </c:valAx>
    </c:plotArea>
    <c:legend>
      <c:legendPos val="r"/>
      <c:overlay val="0"/>
    </c:legend>
    <c:plotVisOnly val="1"/>
    <c:dispBlanksAs val="gap"/>
    <c:showDLblsOverMax val="0"/>
  </c:chart>
  <c:printSettings>
    <c:headerFooter/>
    <c:pageMargins b="1.0" l="0.75" r="0.75" t="1.0" header="0.5" footer="0.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Biogas volume</a:t>
            </a:r>
          </a:p>
        </c:rich>
      </c:tx>
      <c:layout/>
      <c:overlay val="1"/>
    </c:title>
    <c:autoTitleDeleted val="0"/>
    <c:plotArea>
      <c:layout/>
      <c:lineChart>
        <c:grouping val="standard"/>
        <c:varyColors val="0"/>
        <c:ser>
          <c:idx val="0"/>
          <c:order val="0"/>
          <c:val>
            <c:numRef>
              <c:f>'Dec''15'!$C$3:$C$32</c:f>
              <c:numCache>
                <c:formatCode>#,##0</c:formatCode>
                <c:ptCount val="30"/>
                <c:pt idx="0">
                  <c:v>1845.369863010756</c:v>
                </c:pt>
                <c:pt idx="1">
                  <c:v>1330.237762238845</c:v>
                </c:pt>
                <c:pt idx="2">
                  <c:v>1285.297297302352</c:v>
                </c:pt>
                <c:pt idx="3">
                  <c:v>1222.971428566344</c:v>
                </c:pt>
                <c:pt idx="4">
                  <c:v>1337.07540984117</c:v>
                </c:pt>
                <c:pt idx="5">
                  <c:v>1342.956521735732</c:v>
                </c:pt>
                <c:pt idx="6">
                  <c:v>1292.438162542043</c:v>
                </c:pt>
                <c:pt idx="7">
                  <c:v>1079.754601231621</c:v>
                </c:pt>
                <c:pt idx="8">
                  <c:v>1440.938722292249</c:v>
                </c:pt>
                <c:pt idx="9">
                  <c:v>1665.193687222368</c:v>
                </c:pt>
                <c:pt idx="10">
                  <c:v>2612.301313077058</c:v>
                </c:pt>
                <c:pt idx="11">
                  <c:v>2993.43544856548</c:v>
                </c:pt>
                <c:pt idx="12">
                  <c:v>2412.151898744841</c:v>
                </c:pt>
                <c:pt idx="13">
                  <c:v>1749.0</c:v>
                </c:pt>
                <c:pt idx="14">
                  <c:v>1893.551020403665</c:v>
                </c:pt>
                <c:pt idx="15">
                  <c:v>2362.0</c:v>
                </c:pt>
                <c:pt idx="16">
                  <c:v>1740.4</c:v>
                </c:pt>
                <c:pt idx="17">
                  <c:v>1945.6</c:v>
                </c:pt>
                <c:pt idx="18">
                  <c:v>2183.2</c:v>
                </c:pt>
                <c:pt idx="19">
                  <c:v>2561.7</c:v>
                </c:pt>
                <c:pt idx="20">
                  <c:v>2735.1</c:v>
                </c:pt>
                <c:pt idx="21">
                  <c:v>2559.0</c:v>
                </c:pt>
                <c:pt idx="22">
                  <c:v>2115.7</c:v>
                </c:pt>
                <c:pt idx="23">
                  <c:v>1226.6</c:v>
                </c:pt>
                <c:pt idx="24">
                  <c:v>1734.0</c:v>
                </c:pt>
                <c:pt idx="25">
                  <c:v>1493.0</c:v>
                </c:pt>
                <c:pt idx="26">
                  <c:v>1386.7</c:v>
                </c:pt>
                <c:pt idx="27">
                  <c:v>1195.2</c:v>
                </c:pt>
                <c:pt idx="28">
                  <c:v>1474.0</c:v>
                </c:pt>
                <c:pt idx="29">
                  <c:v>1687.0</c:v>
                </c:pt>
              </c:numCache>
            </c:numRef>
          </c:val>
          <c:smooth val="0"/>
        </c:ser>
        <c:dLbls>
          <c:showLegendKey val="0"/>
          <c:showVal val="0"/>
          <c:showCatName val="0"/>
          <c:showSerName val="0"/>
          <c:showPercent val="0"/>
          <c:showBubbleSize val="0"/>
        </c:dLbls>
        <c:marker val="1"/>
        <c:smooth val="0"/>
        <c:axId val="2108581320"/>
        <c:axId val="2108584264"/>
      </c:lineChart>
      <c:catAx>
        <c:axId val="2108581320"/>
        <c:scaling>
          <c:orientation val="minMax"/>
        </c:scaling>
        <c:delete val="0"/>
        <c:axPos val="b"/>
        <c:majorTickMark val="out"/>
        <c:minorTickMark val="none"/>
        <c:tickLblPos val="nextTo"/>
        <c:crossAx val="2108584264"/>
        <c:crosses val="autoZero"/>
        <c:auto val="1"/>
        <c:lblAlgn val="ctr"/>
        <c:lblOffset val="100"/>
        <c:noMultiLvlLbl val="0"/>
      </c:catAx>
      <c:valAx>
        <c:axId val="2108584264"/>
        <c:scaling>
          <c:orientation val="minMax"/>
        </c:scaling>
        <c:delete val="0"/>
        <c:axPos val="l"/>
        <c:majorGridlines/>
        <c:numFmt formatCode="#,##0" sourceLinked="1"/>
        <c:majorTickMark val="out"/>
        <c:minorTickMark val="none"/>
        <c:tickLblPos val="nextTo"/>
        <c:crossAx val="2108581320"/>
        <c:crosses val="autoZero"/>
        <c:crossBetween val="between"/>
      </c:valAx>
    </c:plotArea>
    <c:plotVisOnly val="1"/>
    <c:dispBlanksAs val="gap"/>
    <c:showDLblsOverMax val="0"/>
  </c:chart>
  <c:printSettings>
    <c:headerFooter/>
    <c:pageMargins b="1.0" l="0.75" r="0.75" t="1.0" header="0.5" footer="0.5"/>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Power</a:t>
            </a:r>
          </a:p>
        </c:rich>
      </c:tx>
      <c:layout/>
      <c:overlay val="1"/>
    </c:title>
    <c:autoTitleDeleted val="0"/>
    <c:plotArea>
      <c:layout/>
      <c:lineChart>
        <c:grouping val="standard"/>
        <c:varyColors val="0"/>
        <c:ser>
          <c:idx val="0"/>
          <c:order val="0"/>
          <c:val>
            <c:numRef>
              <c:f>'Dec''15'!$G$3:$G$32</c:f>
              <c:numCache>
                <c:formatCode>#,##0</c:formatCode>
                <c:ptCount val="30"/>
                <c:pt idx="0">
                  <c:v>686.4657534235628</c:v>
                </c:pt>
                <c:pt idx="1">
                  <c:v>771.3566433572712</c:v>
                </c:pt>
                <c:pt idx="2">
                  <c:v>745.2972973002285</c:v>
                </c:pt>
                <c:pt idx="3">
                  <c:v>601.714285711784</c:v>
                </c:pt>
                <c:pt idx="4">
                  <c:v>609.993442625279</c:v>
                </c:pt>
                <c:pt idx="5">
                  <c:v>566.60869565074</c:v>
                </c:pt>
                <c:pt idx="6">
                  <c:v>564.805653709318</c:v>
                </c:pt>
                <c:pt idx="7">
                  <c:v>701.8404908005535</c:v>
                </c:pt>
                <c:pt idx="8">
                  <c:v>623.3116036495461</c:v>
                </c:pt>
                <c:pt idx="9">
                  <c:v>481.3773314178806</c:v>
                </c:pt>
                <c:pt idx="10" formatCode="_(* #,##0_);_(* \(#,##0\);_(* &quot;-&quot;??_);_(@_)">
                  <c:v>480.6634416061789</c:v>
                </c:pt>
                <c:pt idx="11" formatCode="_(* #,##0_);_(* \(#,##0\);_(* &quot;-&quot;??_);_(@_)">
                  <c:v>474.7483588602094</c:v>
                </c:pt>
                <c:pt idx="12" formatCode="_(* #,##0_);_(* \(#,##0\);_(* &quot;-&quot;??_);_(@_)">
                  <c:v>465.8227848121859</c:v>
                </c:pt>
                <c:pt idx="13" formatCode="_(* #,##0_);_(* \(#,##0\);_(* &quot;-&quot;??_);_(@_)">
                  <c:v>537.0</c:v>
                </c:pt>
                <c:pt idx="14" formatCode="_(* #,##0_);_(* \(#,##0\);_(* &quot;-&quot;??_);_(@_)">
                  <c:v>587.7551020394199</c:v>
                </c:pt>
                <c:pt idx="15">
                  <c:v>489.2</c:v>
                </c:pt>
                <c:pt idx="16">
                  <c:v>497.6</c:v>
                </c:pt>
                <c:pt idx="17">
                  <c:v>574.4</c:v>
                </c:pt>
                <c:pt idx="18">
                  <c:v>574.8</c:v>
                </c:pt>
                <c:pt idx="19">
                  <c:v>620.5</c:v>
                </c:pt>
                <c:pt idx="20">
                  <c:v>526.1</c:v>
                </c:pt>
                <c:pt idx="21">
                  <c:v>535.5</c:v>
                </c:pt>
                <c:pt idx="22">
                  <c:v>554.6</c:v>
                </c:pt>
                <c:pt idx="23">
                  <c:v>547.3</c:v>
                </c:pt>
                <c:pt idx="24">
                  <c:v>536.0</c:v>
                </c:pt>
                <c:pt idx="25">
                  <c:v>506.0</c:v>
                </c:pt>
                <c:pt idx="26">
                  <c:v>550.1</c:v>
                </c:pt>
                <c:pt idx="27">
                  <c:v>576.8</c:v>
                </c:pt>
                <c:pt idx="28">
                  <c:v>603.1</c:v>
                </c:pt>
                <c:pt idx="29">
                  <c:v>576.0</c:v>
                </c:pt>
              </c:numCache>
            </c:numRef>
          </c:val>
          <c:smooth val="0"/>
        </c:ser>
        <c:ser>
          <c:idx val="1"/>
          <c:order val="1"/>
          <c:val>
            <c:numRef>
              <c:f>'Dec''15'!$H$3:$H$32</c:f>
              <c:numCache>
                <c:formatCode>#,##0</c:formatCode>
                <c:ptCount val="30"/>
                <c:pt idx="0">
                  <c:v>5947.397260264488</c:v>
                </c:pt>
                <c:pt idx="1">
                  <c:v>5237.370629374892</c:v>
                </c:pt>
                <c:pt idx="2">
                  <c:v>5060.432432452335</c:v>
                </c:pt>
                <c:pt idx="3">
                  <c:v>4658.399999980632</c:v>
                </c:pt>
                <c:pt idx="4">
                  <c:v>5093.350819691571</c:v>
                </c:pt>
                <c:pt idx="5">
                  <c:v>5306.08695650831</c:v>
                </c:pt>
                <c:pt idx="6">
                  <c:v>5027.279151935191</c:v>
                </c:pt>
                <c:pt idx="7">
                  <c:v>4118.77300615262</c:v>
                </c:pt>
                <c:pt idx="8">
                  <c:v>4163.233376785748</c:v>
                </c:pt>
                <c:pt idx="9">
                  <c:v>3535.954088934346</c:v>
                </c:pt>
                <c:pt idx="10" formatCode="_(* #,##0_);_(* \(#,##0\);_(* &quot;-&quot;??_);_(@_)">
                  <c:v>5569.923980682781</c:v>
                </c:pt>
                <c:pt idx="11" formatCode="_(* #,##0_);_(* \(#,##0\);_(* &quot;-&quot;??_);_(@_)">
                  <c:v>6437.461706757132</c:v>
                </c:pt>
                <c:pt idx="12" formatCode="_(* #,##0_);_(* \(#,##0\);_(* &quot;-&quot;??_);_(@_)">
                  <c:v>7149.367088639201</c:v>
                </c:pt>
                <c:pt idx="13" formatCode="_(* #,##0_);_(* \(#,##0\);_(* &quot;-&quot;??_);_(@_)">
                  <c:v>7026.0</c:v>
                </c:pt>
                <c:pt idx="14" formatCode="_(* #,##0_);_(* \(#,##0\);_(* &quot;-&quot;??_);_(@_)">
                  <c:v>7562.44897957387</c:v>
                </c:pt>
                <c:pt idx="15">
                  <c:v>7191.8</c:v>
                </c:pt>
                <c:pt idx="16">
                  <c:v>6861.5</c:v>
                </c:pt>
                <c:pt idx="17">
                  <c:v>8013.4</c:v>
                </c:pt>
                <c:pt idx="18">
                  <c:v>9039.299999999999</c:v>
                </c:pt>
                <c:pt idx="19">
                  <c:v>8939.1</c:v>
                </c:pt>
                <c:pt idx="20">
                  <c:v>8277.6</c:v>
                </c:pt>
                <c:pt idx="21">
                  <c:v>8880.9</c:v>
                </c:pt>
                <c:pt idx="22">
                  <c:v>7434.6</c:v>
                </c:pt>
                <c:pt idx="23">
                  <c:v>4012.6</c:v>
                </c:pt>
                <c:pt idx="24">
                  <c:v>6675.0</c:v>
                </c:pt>
                <c:pt idx="25">
                  <c:v>5339.0</c:v>
                </c:pt>
                <c:pt idx="26">
                  <c:v>5225.7</c:v>
                </c:pt>
                <c:pt idx="27">
                  <c:v>4620.0</c:v>
                </c:pt>
                <c:pt idx="28">
                  <c:v>5247.7</c:v>
                </c:pt>
                <c:pt idx="29">
                  <c:v>4514.3</c:v>
                </c:pt>
              </c:numCache>
            </c:numRef>
          </c:val>
          <c:smooth val="0"/>
        </c:ser>
        <c:dLbls>
          <c:showLegendKey val="0"/>
          <c:showVal val="0"/>
          <c:showCatName val="0"/>
          <c:showSerName val="0"/>
          <c:showPercent val="0"/>
          <c:showBubbleSize val="0"/>
        </c:dLbls>
        <c:marker val="1"/>
        <c:smooth val="0"/>
        <c:axId val="2106737736"/>
        <c:axId val="2106734808"/>
      </c:lineChart>
      <c:catAx>
        <c:axId val="2106737736"/>
        <c:scaling>
          <c:orientation val="minMax"/>
        </c:scaling>
        <c:delete val="0"/>
        <c:axPos val="b"/>
        <c:majorTickMark val="out"/>
        <c:minorTickMark val="none"/>
        <c:tickLblPos val="nextTo"/>
        <c:crossAx val="2106734808"/>
        <c:crosses val="autoZero"/>
        <c:auto val="1"/>
        <c:lblAlgn val="ctr"/>
        <c:lblOffset val="100"/>
        <c:noMultiLvlLbl val="0"/>
      </c:catAx>
      <c:valAx>
        <c:axId val="2106734808"/>
        <c:scaling>
          <c:orientation val="minMax"/>
        </c:scaling>
        <c:delete val="0"/>
        <c:axPos val="l"/>
        <c:majorGridlines/>
        <c:numFmt formatCode="#,##0" sourceLinked="1"/>
        <c:majorTickMark val="out"/>
        <c:minorTickMark val="none"/>
        <c:tickLblPos val="nextTo"/>
        <c:crossAx val="2106737736"/>
        <c:crosses val="autoZero"/>
        <c:crossBetween val="between"/>
      </c:valAx>
    </c:plotArea>
    <c:plotVisOnly val="1"/>
    <c:dispBlanksAs val="gap"/>
    <c:showDLblsOverMax val="0"/>
  </c:chart>
  <c:printSettings>
    <c:headerFooter/>
    <c:pageMargins b="1.0" l="0.75" r="0.75" t="1.0" header="0.5" footer="0.5"/>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CH4 level</a:t>
            </a:r>
          </a:p>
        </c:rich>
      </c:tx>
      <c:layout/>
      <c:overlay val="1"/>
    </c:title>
    <c:autoTitleDeleted val="0"/>
    <c:plotArea>
      <c:layout/>
      <c:lineChart>
        <c:grouping val="standard"/>
        <c:varyColors val="0"/>
        <c:ser>
          <c:idx val="0"/>
          <c:order val="0"/>
          <c:val>
            <c:numRef>
              <c:f>'Dec''15'!$D$3:$D$32</c:f>
              <c:numCache>
                <c:formatCode>0.0</c:formatCode>
                <c:ptCount val="30"/>
                <c:pt idx="0">
                  <c:v>65.2</c:v>
                </c:pt>
                <c:pt idx="1">
                  <c:v>64.5</c:v>
                </c:pt>
                <c:pt idx="2">
                  <c:v>63.4</c:v>
                </c:pt>
                <c:pt idx="3">
                  <c:v>64.2</c:v>
                </c:pt>
                <c:pt idx="4">
                  <c:v>62.0</c:v>
                </c:pt>
                <c:pt idx="5">
                  <c:v>62.1</c:v>
                </c:pt>
                <c:pt idx="6">
                  <c:v>64.4</c:v>
                </c:pt>
                <c:pt idx="7">
                  <c:v>62.6</c:v>
                </c:pt>
                <c:pt idx="8">
                  <c:v>61.9</c:v>
                </c:pt>
                <c:pt idx="9">
                  <c:v>58.2</c:v>
                </c:pt>
                <c:pt idx="10">
                  <c:v>60.5</c:v>
                </c:pt>
                <c:pt idx="11">
                  <c:v>60.8</c:v>
                </c:pt>
                <c:pt idx="12">
                  <c:v>64.0</c:v>
                </c:pt>
                <c:pt idx="13">
                  <c:v>63.6</c:v>
                </c:pt>
                <c:pt idx="14">
                  <c:v>63.4</c:v>
                </c:pt>
                <c:pt idx="15">
                  <c:v>64.3</c:v>
                </c:pt>
                <c:pt idx="16">
                  <c:v>64.0</c:v>
                </c:pt>
                <c:pt idx="17">
                  <c:v>64.1</c:v>
                </c:pt>
                <c:pt idx="18">
                  <c:v>63.9</c:v>
                </c:pt>
                <c:pt idx="19">
                  <c:v>64.9</c:v>
                </c:pt>
                <c:pt idx="20">
                  <c:v>66.1</c:v>
                </c:pt>
                <c:pt idx="21">
                  <c:v>65.5</c:v>
                </c:pt>
                <c:pt idx="22">
                  <c:v>66.6</c:v>
                </c:pt>
                <c:pt idx="23">
                  <c:v>66.4</c:v>
                </c:pt>
                <c:pt idx="24">
                  <c:v>64.5</c:v>
                </c:pt>
                <c:pt idx="25">
                  <c:v>65.4</c:v>
                </c:pt>
                <c:pt idx="26">
                  <c:v>63.4</c:v>
                </c:pt>
                <c:pt idx="27">
                  <c:v>63.7</c:v>
                </c:pt>
                <c:pt idx="28">
                  <c:v>61.2</c:v>
                </c:pt>
                <c:pt idx="29">
                  <c:v>62.3</c:v>
                </c:pt>
              </c:numCache>
            </c:numRef>
          </c:val>
          <c:smooth val="0"/>
        </c:ser>
        <c:dLbls>
          <c:showLegendKey val="0"/>
          <c:showVal val="0"/>
          <c:showCatName val="0"/>
          <c:showSerName val="0"/>
          <c:showPercent val="0"/>
          <c:showBubbleSize val="0"/>
        </c:dLbls>
        <c:marker val="1"/>
        <c:smooth val="0"/>
        <c:axId val="2103300440"/>
        <c:axId val="2103303432"/>
      </c:lineChart>
      <c:catAx>
        <c:axId val="2103300440"/>
        <c:scaling>
          <c:orientation val="minMax"/>
        </c:scaling>
        <c:delete val="0"/>
        <c:axPos val="b"/>
        <c:majorTickMark val="out"/>
        <c:minorTickMark val="none"/>
        <c:tickLblPos val="nextTo"/>
        <c:crossAx val="2103303432"/>
        <c:crosses val="autoZero"/>
        <c:auto val="1"/>
        <c:lblAlgn val="ctr"/>
        <c:lblOffset val="100"/>
        <c:noMultiLvlLbl val="0"/>
      </c:catAx>
      <c:valAx>
        <c:axId val="2103303432"/>
        <c:scaling>
          <c:orientation val="minMax"/>
        </c:scaling>
        <c:delete val="0"/>
        <c:axPos val="l"/>
        <c:majorGridlines/>
        <c:numFmt formatCode="0.0" sourceLinked="1"/>
        <c:majorTickMark val="out"/>
        <c:minorTickMark val="none"/>
        <c:tickLblPos val="nextTo"/>
        <c:crossAx val="2103300440"/>
        <c:crosses val="autoZero"/>
        <c:crossBetween val="between"/>
      </c:valAx>
    </c:plotArea>
    <c:plotVisOnly val="1"/>
    <c:dispBlanksAs val="gap"/>
    <c:showDLblsOverMax val="0"/>
  </c:chart>
  <c:printSettings>
    <c:headerFooter/>
    <c:pageMargins b="1.0" l="0.75" r="0.75" t="1.0" header="0.5" footer="0.5"/>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strRef>
              <c:f>'Jun''15'!$B$2</c:f>
              <c:strCache>
                <c:ptCount val="1"/>
                <c:pt idx="0">
                  <c:v>biogas consumed (m3/day)</c:v>
                </c:pt>
              </c:strCache>
            </c:strRef>
          </c:tx>
          <c:spPr>
            <a:ln w="47625">
              <a:noFill/>
            </a:ln>
          </c:spPr>
          <c:invertIfNegative val="0"/>
          <c:cat>
            <c:numRef>
              <c:f>'Jun''15'!$A$3:$A$32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cat>
          <c:val>
            <c:numRef>
              <c:f>'Jun''15'!$B$3:$B$33</c:f>
              <c:numCache>
                <c:formatCode>#,##0</c:formatCode>
                <c:ptCount val="31"/>
                <c:pt idx="0">
                  <c:v>1237.333333333333</c:v>
                </c:pt>
                <c:pt idx="1">
                  <c:v>801.6494845380066</c:v>
                </c:pt>
                <c:pt idx="3">
                  <c:v>549.0</c:v>
                </c:pt>
                <c:pt idx="4">
                  <c:v>694.4959128079714</c:v>
                </c:pt>
                <c:pt idx="5">
                  <c:v>1143.321653819574</c:v>
                </c:pt>
                <c:pt idx="6">
                  <c:v>820.8979591817232</c:v>
                </c:pt>
                <c:pt idx="7">
                  <c:v>718.4105960275977</c:v>
                </c:pt>
                <c:pt idx="8">
                  <c:v>1174.33962263979</c:v>
                </c:pt>
                <c:pt idx="9">
                  <c:v>1001.696306430665</c:v>
                </c:pt>
                <c:pt idx="10">
                  <c:v>1474.054054049416</c:v>
                </c:pt>
                <c:pt idx="11">
                  <c:v>1022.222222225161</c:v>
                </c:pt>
                <c:pt idx="12">
                  <c:v>1385.6</c:v>
                </c:pt>
                <c:pt idx="13">
                  <c:v>600.4135079237381</c:v>
                </c:pt>
                <c:pt idx="14">
                  <c:v>923.5443037966906</c:v>
                </c:pt>
                <c:pt idx="15">
                  <c:v>996.8354430442176</c:v>
                </c:pt>
                <c:pt idx="16">
                  <c:v>1064.527220627887</c:v>
                </c:pt>
                <c:pt idx="17">
                  <c:v>994.2628418921255</c:v>
                </c:pt>
                <c:pt idx="18">
                  <c:v>1238.241758241956</c:v>
                </c:pt>
                <c:pt idx="19">
                  <c:v>935.4893617044448</c:v>
                </c:pt>
                <c:pt idx="20">
                  <c:v>1123.485148512262</c:v>
                </c:pt>
                <c:pt idx="21">
                  <c:v>1153.043478266706</c:v>
                </c:pt>
                <c:pt idx="22">
                  <c:v>1134.514285709569</c:v>
                </c:pt>
                <c:pt idx="23">
                  <c:v>1161.0</c:v>
                </c:pt>
                <c:pt idx="24">
                  <c:v>1092.0</c:v>
                </c:pt>
                <c:pt idx="25">
                  <c:v>1126.65757162275</c:v>
                </c:pt>
                <c:pt idx="26">
                  <c:v>1129.257998638351</c:v>
                </c:pt>
                <c:pt idx="27">
                  <c:v>1080.774193548387</c:v>
                </c:pt>
                <c:pt idx="28">
                  <c:v>1162.560000002707</c:v>
                </c:pt>
                <c:pt idx="29">
                  <c:v>976.359680928044</c:v>
                </c:pt>
                <c:pt idx="30" formatCode="General">
                  <c:v>0.0</c:v>
                </c:pt>
              </c:numCache>
            </c:numRef>
          </c:val>
        </c:ser>
        <c:dLbls>
          <c:showLegendKey val="0"/>
          <c:showVal val="0"/>
          <c:showCatName val="0"/>
          <c:showSerName val="0"/>
          <c:showPercent val="0"/>
          <c:showBubbleSize val="0"/>
        </c:dLbls>
        <c:gapWidth val="10"/>
        <c:axId val="2106665240"/>
        <c:axId val="2106662248"/>
      </c:barChart>
      <c:scatterChart>
        <c:scatterStyle val="lineMarker"/>
        <c:varyColors val="0"/>
        <c:ser>
          <c:idx val="1"/>
          <c:order val="1"/>
          <c:tx>
            <c:strRef>
              <c:f>'Jun''15'!$C$2</c:f>
              <c:strCache>
                <c:ptCount val="1"/>
                <c:pt idx="0">
                  <c:v>CH4 (%)</c:v>
                </c:pt>
              </c:strCache>
            </c:strRef>
          </c:tx>
          <c:spPr>
            <a:ln w="47625">
              <a:noFill/>
            </a:ln>
          </c:spPr>
          <c:marker>
            <c:symbol val="square"/>
            <c:size val="9"/>
            <c:spPr>
              <a:solidFill>
                <a:schemeClr val="bg1"/>
              </a:solidFill>
              <a:ln w="19050" cmpd="sng">
                <a:solidFill>
                  <a:srgbClr val="0000FF"/>
                </a:solidFill>
              </a:ln>
            </c:spPr>
          </c:marker>
          <c:xVal>
            <c:numRef>
              <c:f>'Jun''15'!$A$3:$A$32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xVal>
          <c:yVal>
            <c:numRef>
              <c:f>'Jun''15'!$C$3:$C$32</c:f>
              <c:numCache>
                <c:formatCode>0.0</c:formatCode>
                <c:ptCount val="30"/>
                <c:pt idx="0">
                  <c:v>61.4</c:v>
                </c:pt>
                <c:pt idx="1">
                  <c:v>61.1</c:v>
                </c:pt>
                <c:pt idx="3">
                  <c:v>61.3</c:v>
                </c:pt>
                <c:pt idx="4">
                  <c:v>60.6</c:v>
                </c:pt>
                <c:pt idx="5">
                  <c:v>59.7</c:v>
                </c:pt>
                <c:pt idx="8">
                  <c:v>57.5</c:v>
                </c:pt>
                <c:pt idx="9">
                  <c:v>60.3</c:v>
                </c:pt>
                <c:pt idx="10">
                  <c:v>60.8</c:v>
                </c:pt>
                <c:pt idx="11">
                  <c:v>60.5</c:v>
                </c:pt>
                <c:pt idx="12">
                  <c:v>59.8</c:v>
                </c:pt>
                <c:pt idx="13">
                  <c:v>59.5</c:v>
                </c:pt>
                <c:pt idx="14">
                  <c:v>58.9</c:v>
                </c:pt>
                <c:pt idx="15">
                  <c:v>58.4</c:v>
                </c:pt>
                <c:pt idx="16">
                  <c:v>58.0</c:v>
                </c:pt>
                <c:pt idx="17">
                  <c:v>58.3</c:v>
                </c:pt>
                <c:pt idx="18">
                  <c:v>57.7</c:v>
                </c:pt>
                <c:pt idx="19">
                  <c:v>57.8</c:v>
                </c:pt>
                <c:pt idx="20">
                  <c:v>57.2</c:v>
                </c:pt>
                <c:pt idx="21">
                  <c:v>56.6</c:v>
                </c:pt>
                <c:pt idx="22">
                  <c:v>56.0</c:v>
                </c:pt>
                <c:pt idx="23">
                  <c:v>55.5</c:v>
                </c:pt>
                <c:pt idx="24">
                  <c:v>55.9</c:v>
                </c:pt>
                <c:pt idx="25">
                  <c:v>61.1</c:v>
                </c:pt>
                <c:pt idx="26">
                  <c:v>60.5</c:v>
                </c:pt>
                <c:pt idx="27">
                  <c:v>60.2</c:v>
                </c:pt>
                <c:pt idx="28">
                  <c:v>60.9</c:v>
                </c:pt>
                <c:pt idx="29">
                  <c:v>59.5</c:v>
                </c:pt>
              </c:numCache>
            </c:numRef>
          </c:yVal>
          <c:smooth val="0"/>
        </c:ser>
        <c:ser>
          <c:idx val="2"/>
          <c:order val="2"/>
          <c:tx>
            <c:strRef>
              <c:f>Template!$E$2</c:f>
              <c:strCache>
                <c:ptCount val="1"/>
                <c:pt idx="0">
                  <c:v>H2S (ppm)</c:v>
                </c:pt>
              </c:strCache>
            </c:strRef>
          </c:tx>
          <c:spPr>
            <a:ln w="47625">
              <a:noFill/>
            </a:ln>
          </c:spPr>
          <c:marker>
            <c:symbol val="plus"/>
            <c:size val="9"/>
            <c:spPr>
              <a:ln>
                <a:solidFill>
                  <a:schemeClr val="tx1"/>
                </a:solidFill>
              </a:ln>
            </c:spPr>
          </c:marker>
          <c:dPt>
            <c:idx val="1"/>
            <c:marker>
              <c:spPr>
                <a:ln w="19050" cmpd="sng">
                  <a:solidFill>
                    <a:schemeClr val="tx1"/>
                  </a:solidFill>
                </a:ln>
              </c:spPr>
            </c:marker>
            <c:bubble3D val="0"/>
          </c:dPt>
          <c:xVal>
            <c:numRef>
              <c:f>Template!$B$3:$B$32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xVal>
          <c:yVal>
            <c:numRef>
              <c:f>Template!$E$3:$E$32</c:f>
              <c:numCache>
                <c:formatCode>0</c:formatCode>
                <c:ptCount val="30"/>
              </c:numCache>
            </c:numRef>
          </c:yVal>
          <c:smooth val="0"/>
        </c:ser>
        <c:dLbls>
          <c:showLegendKey val="0"/>
          <c:showVal val="0"/>
          <c:showCatName val="0"/>
          <c:showSerName val="0"/>
          <c:showPercent val="0"/>
          <c:showBubbleSize val="0"/>
        </c:dLbls>
        <c:axId val="2106650520"/>
        <c:axId val="2106656216"/>
      </c:scatterChart>
      <c:catAx>
        <c:axId val="2106665240"/>
        <c:scaling>
          <c:orientation val="minMax"/>
        </c:scaling>
        <c:delete val="0"/>
        <c:axPos val="b"/>
        <c:numFmt formatCode="0" sourceLinked="1"/>
        <c:majorTickMark val="out"/>
        <c:minorTickMark val="none"/>
        <c:tickLblPos val="nextTo"/>
        <c:crossAx val="2106662248"/>
        <c:crosses val="autoZero"/>
        <c:auto val="1"/>
        <c:lblAlgn val="ctr"/>
        <c:lblOffset val="100"/>
        <c:noMultiLvlLbl val="1"/>
      </c:catAx>
      <c:valAx>
        <c:axId val="2106662248"/>
        <c:scaling>
          <c:orientation val="minMax"/>
        </c:scaling>
        <c:delete val="0"/>
        <c:axPos val="l"/>
        <c:title>
          <c:tx>
            <c:rich>
              <a:bodyPr rot="-5400000" vert="horz"/>
              <a:lstStyle/>
              <a:p>
                <a:pPr>
                  <a:defRPr sz="1200"/>
                </a:pPr>
                <a:r>
                  <a:rPr lang="en-US" sz="1200"/>
                  <a:t>biogas volume</a:t>
                </a:r>
                <a:r>
                  <a:rPr lang="en-US" sz="1200" baseline="0"/>
                  <a:t> (m3/day)</a:t>
                </a:r>
                <a:endParaRPr lang="en-US" sz="1200"/>
              </a:p>
            </c:rich>
          </c:tx>
          <c:layout/>
          <c:overlay val="0"/>
        </c:title>
        <c:numFmt formatCode="#,##0" sourceLinked="1"/>
        <c:majorTickMark val="out"/>
        <c:minorTickMark val="none"/>
        <c:tickLblPos val="nextTo"/>
        <c:txPr>
          <a:bodyPr/>
          <a:lstStyle/>
          <a:p>
            <a:pPr>
              <a:defRPr sz="1200"/>
            </a:pPr>
            <a:endParaRPr lang="en-US"/>
          </a:p>
        </c:txPr>
        <c:crossAx val="2106665240"/>
        <c:crosses val="autoZero"/>
        <c:crossBetween val="between"/>
      </c:valAx>
      <c:valAx>
        <c:axId val="2106656216"/>
        <c:scaling>
          <c:orientation val="minMax"/>
        </c:scaling>
        <c:delete val="0"/>
        <c:axPos val="r"/>
        <c:title>
          <c:tx>
            <c:rich>
              <a:bodyPr rot="-5400000" vert="horz"/>
              <a:lstStyle/>
              <a:p>
                <a:pPr>
                  <a:defRPr sz="1200"/>
                </a:pPr>
                <a:r>
                  <a:rPr lang="en-US" sz="1200"/>
                  <a:t>methane (%), H2S</a:t>
                </a:r>
                <a:r>
                  <a:rPr lang="en-US" sz="1200" baseline="0"/>
                  <a:t> (ppm</a:t>
                </a:r>
                <a:endParaRPr lang="en-US" sz="1200"/>
              </a:p>
            </c:rich>
          </c:tx>
          <c:layout/>
          <c:overlay val="0"/>
        </c:title>
        <c:numFmt formatCode="0.0" sourceLinked="1"/>
        <c:majorTickMark val="out"/>
        <c:minorTickMark val="none"/>
        <c:tickLblPos val="nextTo"/>
        <c:txPr>
          <a:bodyPr/>
          <a:lstStyle/>
          <a:p>
            <a:pPr>
              <a:defRPr sz="1200"/>
            </a:pPr>
            <a:endParaRPr lang="en-US"/>
          </a:p>
        </c:txPr>
        <c:crossAx val="2106650520"/>
        <c:crosses val="max"/>
        <c:crossBetween val="midCat"/>
      </c:valAx>
      <c:valAx>
        <c:axId val="2106650520"/>
        <c:scaling>
          <c:orientation val="minMax"/>
        </c:scaling>
        <c:delete val="1"/>
        <c:axPos val="b"/>
        <c:numFmt formatCode="0" sourceLinked="1"/>
        <c:majorTickMark val="out"/>
        <c:minorTickMark val="none"/>
        <c:tickLblPos val="nextTo"/>
        <c:crossAx val="2106656216"/>
        <c:crosses val="autoZero"/>
        <c:crossBetween val="midCat"/>
      </c:valAx>
    </c:plotArea>
    <c:legend>
      <c:legendPos val="r"/>
      <c:layout>
        <c:manualLayout>
          <c:xMode val="edge"/>
          <c:yMode val="edge"/>
          <c:x val="0.789478769141587"/>
          <c:y val="0.366370303378669"/>
          <c:w val="0.208409062364137"/>
          <c:h val="0.160703780319213"/>
        </c:manualLayout>
      </c:layout>
      <c:overlay val="0"/>
      <c:txPr>
        <a:bodyPr/>
        <a:lstStyle/>
        <a:p>
          <a:pPr>
            <a:defRPr sz="1200"/>
          </a:pPr>
          <a:endParaRPr lang="en-US"/>
        </a:p>
      </c:txPr>
    </c:legend>
    <c:plotVisOnly val="1"/>
    <c:dispBlanksAs val="gap"/>
    <c:showDLblsOverMax val="0"/>
  </c:chart>
  <c:printSettings>
    <c:headerFooter/>
    <c:pageMargins b="1.0" l="0.75" r="0.75" t="1.0" header="0.5" footer="0.5"/>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1"/>
          <c:order val="1"/>
          <c:tx>
            <c:strRef>
              <c:f>'Jun''15'!$G$2</c:f>
              <c:strCache>
                <c:ptCount val="1"/>
                <c:pt idx="0">
                  <c:v>electricity produced (kWh/day)</c:v>
                </c:pt>
              </c:strCache>
            </c:strRef>
          </c:tx>
          <c:spPr>
            <a:ln w="47625">
              <a:noFill/>
            </a:ln>
          </c:spPr>
          <c:invertIfNegative val="0"/>
          <c:cat>
            <c:numRef>
              <c:f>'Jun''15'!$E$3:$E$32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cat>
          <c:val>
            <c:numRef>
              <c:f>'Jun''15'!$G$3:$G$33</c:f>
              <c:numCache>
                <c:formatCode>#,##0</c:formatCode>
                <c:ptCount val="31"/>
                <c:pt idx="0">
                  <c:v>4757.333333333334</c:v>
                </c:pt>
                <c:pt idx="1">
                  <c:v>2987.876288666966</c:v>
                </c:pt>
                <c:pt idx="3">
                  <c:v>2111.0</c:v>
                </c:pt>
                <c:pt idx="4">
                  <c:v>2671.062670305235</c:v>
                </c:pt>
                <c:pt idx="5">
                  <c:v>4193.861247373477</c:v>
                </c:pt>
                <c:pt idx="6">
                  <c:v>3166.040816319009</c:v>
                </c:pt>
                <c:pt idx="7">
                  <c:v>2670.198675500806</c:v>
                </c:pt>
                <c:pt idx="8">
                  <c:v>3351.949685529683</c:v>
                </c:pt>
                <c:pt idx="9">
                  <c:v>2377.674418607302</c:v>
                </c:pt>
                <c:pt idx="10">
                  <c:v>3541.621621610478</c:v>
                </c:pt>
                <c:pt idx="11">
                  <c:v>2956.049382724546</c:v>
                </c:pt>
                <c:pt idx="12">
                  <c:v>3224.533333333333</c:v>
                </c:pt>
                <c:pt idx="13">
                  <c:v>1848.876636796569</c:v>
                </c:pt>
                <c:pt idx="14">
                  <c:v>2926.87160940079</c:v>
                </c:pt>
                <c:pt idx="15">
                  <c:v>2587.215189889621</c:v>
                </c:pt>
                <c:pt idx="16">
                  <c:v>2586.01719197104</c:v>
                </c:pt>
                <c:pt idx="17">
                  <c:v>2872.314876577251</c:v>
                </c:pt>
                <c:pt idx="18">
                  <c:v>2876.043956044416</c:v>
                </c:pt>
                <c:pt idx="19">
                  <c:v>2741.106382985513</c:v>
                </c:pt>
                <c:pt idx="20">
                  <c:v>2776.39603959756</c:v>
                </c:pt>
                <c:pt idx="21">
                  <c:v>2529.391304360628</c:v>
                </c:pt>
                <c:pt idx="22">
                  <c:v>2482.971428561105</c:v>
                </c:pt>
                <c:pt idx="23">
                  <c:v>2514.0</c:v>
                </c:pt>
                <c:pt idx="24">
                  <c:v>2534.0</c:v>
                </c:pt>
                <c:pt idx="25">
                  <c:v>2631.487039561766</c:v>
                </c:pt>
                <c:pt idx="26">
                  <c:v>2638.856364873645</c:v>
                </c:pt>
                <c:pt idx="27">
                  <c:v>2378.322580645161</c:v>
                </c:pt>
                <c:pt idx="28">
                  <c:v>2598.720000006051</c:v>
                </c:pt>
                <c:pt idx="29">
                  <c:v>2116.66424945577</c:v>
                </c:pt>
                <c:pt idx="30" formatCode="General">
                  <c:v>0.0</c:v>
                </c:pt>
              </c:numCache>
            </c:numRef>
          </c:val>
        </c:ser>
        <c:dLbls>
          <c:showLegendKey val="0"/>
          <c:showVal val="0"/>
          <c:showCatName val="0"/>
          <c:showSerName val="0"/>
          <c:showPercent val="0"/>
          <c:showBubbleSize val="0"/>
        </c:dLbls>
        <c:gapWidth val="10"/>
        <c:axId val="2106633240"/>
        <c:axId val="2106627752"/>
      </c:barChart>
      <c:scatterChart>
        <c:scatterStyle val="lineMarker"/>
        <c:varyColors val="0"/>
        <c:ser>
          <c:idx val="0"/>
          <c:order val="0"/>
          <c:tx>
            <c:strRef>
              <c:f>'Jun''15'!$F$2</c:f>
              <c:strCache>
                <c:ptCount val="1"/>
                <c:pt idx="0">
                  <c:v>electricity consumed (kWh/day)</c:v>
                </c:pt>
              </c:strCache>
            </c:strRef>
          </c:tx>
          <c:spPr>
            <a:ln w="47625">
              <a:noFill/>
            </a:ln>
          </c:spPr>
          <c:marker>
            <c:symbol val="circle"/>
            <c:size val="12"/>
            <c:spPr>
              <a:solidFill>
                <a:schemeClr val="bg1"/>
              </a:solidFill>
              <a:ln>
                <a:solidFill>
                  <a:srgbClr val="FF0000"/>
                </a:solidFill>
              </a:ln>
            </c:spPr>
          </c:marker>
          <c:xVal>
            <c:numRef>
              <c:f>'Jun''15'!$E$3:$E$32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xVal>
          <c:yVal>
            <c:numRef>
              <c:f>'Jun''15'!$F$3:$F$32</c:f>
              <c:numCache>
                <c:formatCode>#,##0</c:formatCode>
                <c:ptCount val="30"/>
                <c:pt idx="0">
                  <c:v>505.2121212121212</c:v>
                </c:pt>
                <c:pt idx="1">
                  <c:v>578.9690721663381</c:v>
                </c:pt>
                <c:pt idx="3">
                  <c:v>247.0</c:v>
                </c:pt>
                <c:pt idx="4">
                  <c:v>540.4904632163732</c:v>
                </c:pt>
                <c:pt idx="5">
                  <c:v>559.0469516469939</c:v>
                </c:pt>
                <c:pt idx="6">
                  <c:v>538.7755102028015</c:v>
                </c:pt>
                <c:pt idx="7">
                  <c:v>452.4503311265254</c:v>
                </c:pt>
                <c:pt idx="8">
                  <c:v>608.8050314456493</c:v>
                </c:pt>
                <c:pt idx="9">
                  <c:v>544.6785225724266</c:v>
                </c:pt>
                <c:pt idx="10">
                  <c:v>577.9459459441275</c:v>
                </c:pt>
                <c:pt idx="11">
                  <c:v>574.8148148164671</c:v>
                </c:pt>
                <c:pt idx="12">
                  <c:v>535.4666666666667</c:v>
                </c:pt>
                <c:pt idx="13">
                  <c:v>538.8835285993218</c:v>
                </c:pt>
                <c:pt idx="14">
                  <c:v>618.8788426757898</c:v>
                </c:pt>
                <c:pt idx="15">
                  <c:v>502.4050632942857</c:v>
                </c:pt>
                <c:pt idx="16">
                  <c:v>617.8796561590158</c:v>
                </c:pt>
                <c:pt idx="17">
                  <c:v>652.2748498983122</c:v>
                </c:pt>
                <c:pt idx="18">
                  <c:v>568.6813186814096</c:v>
                </c:pt>
                <c:pt idx="19">
                  <c:v>555.5744680864825</c:v>
                </c:pt>
                <c:pt idx="20">
                  <c:v>410.613861385192</c:v>
                </c:pt>
                <c:pt idx="21">
                  <c:v>367.3043478279461</c:v>
                </c:pt>
                <c:pt idx="22">
                  <c:v>380.5714285698462</c:v>
                </c:pt>
                <c:pt idx="23">
                  <c:v>374.0</c:v>
                </c:pt>
                <c:pt idx="24">
                  <c:v>384.0</c:v>
                </c:pt>
                <c:pt idx="25">
                  <c:v>389.9590723053458</c:v>
                </c:pt>
                <c:pt idx="26">
                  <c:v>385.2416609938124</c:v>
                </c:pt>
                <c:pt idx="27">
                  <c:v>400.516129032258</c:v>
                </c:pt>
                <c:pt idx="28">
                  <c:v>460.8000000010729</c:v>
                </c:pt>
                <c:pt idx="29">
                  <c:v>409.3401015227735</c:v>
                </c:pt>
              </c:numCache>
            </c:numRef>
          </c:yVal>
          <c:smooth val="0"/>
        </c:ser>
        <c:dLbls>
          <c:showLegendKey val="0"/>
          <c:showVal val="0"/>
          <c:showCatName val="0"/>
          <c:showSerName val="0"/>
          <c:showPercent val="0"/>
          <c:showBubbleSize val="0"/>
        </c:dLbls>
        <c:axId val="2106633240"/>
        <c:axId val="2106627752"/>
      </c:scatterChart>
      <c:catAx>
        <c:axId val="2106633240"/>
        <c:scaling>
          <c:orientation val="minMax"/>
        </c:scaling>
        <c:delete val="0"/>
        <c:axPos val="b"/>
        <c:numFmt formatCode="0" sourceLinked="1"/>
        <c:majorTickMark val="out"/>
        <c:minorTickMark val="none"/>
        <c:tickLblPos val="nextTo"/>
        <c:crossAx val="2106627752"/>
        <c:crosses val="autoZero"/>
        <c:auto val="1"/>
        <c:lblAlgn val="ctr"/>
        <c:lblOffset val="100"/>
        <c:noMultiLvlLbl val="1"/>
      </c:catAx>
      <c:valAx>
        <c:axId val="2106627752"/>
        <c:scaling>
          <c:orientation val="minMax"/>
        </c:scaling>
        <c:delete val="0"/>
        <c:axPos val="l"/>
        <c:title>
          <c:tx>
            <c:rich>
              <a:bodyPr rot="-5400000" vert="horz"/>
              <a:lstStyle/>
              <a:p>
                <a:pPr>
                  <a:defRPr sz="1200"/>
                </a:pPr>
                <a:r>
                  <a:rPr lang="en-US" sz="1200"/>
                  <a:t>electricity</a:t>
                </a:r>
                <a:r>
                  <a:rPr lang="en-US" sz="1200" baseline="0"/>
                  <a:t> (kWh/day)</a:t>
                </a:r>
                <a:endParaRPr lang="en-US" sz="1200"/>
              </a:p>
            </c:rich>
          </c:tx>
          <c:layout/>
          <c:overlay val="0"/>
        </c:title>
        <c:numFmt formatCode="#,##0" sourceLinked="1"/>
        <c:majorTickMark val="out"/>
        <c:minorTickMark val="none"/>
        <c:tickLblPos val="nextTo"/>
        <c:txPr>
          <a:bodyPr/>
          <a:lstStyle/>
          <a:p>
            <a:pPr>
              <a:defRPr sz="1200"/>
            </a:pPr>
            <a:endParaRPr lang="en-US"/>
          </a:p>
        </c:txPr>
        <c:crossAx val="2106633240"/>
        <c:crosses val="autoZero"/>
        <c:crossBetween val="between"/>
      </c:valAx>
    </c:plotArea>
    <c:legend>
      <c:legendPos val="r"/>
      <c:layout>
        <c:manualLayout>
          <c:xMode val="edge"/>
          <c:yMode val="edge"/>
          <c:x val="0.76506328227396"/>
          <c:y val="0.362752590606079"/>
          <c:w val="0.230977398473221"/>
          <c:h val="0.181357671733435"/>
        </c:manualLayout>
      </c:layout>
      <c:overlay val="0"/>
      <c:txPr>
        <a:bodyPr/>
        <a:lstStyle/>
        <a:p>
          <a:pPr>
            <a:defRPr sz="1200"/>
          </a:pPr>
          <a:endParaRPr lang="en-US"/>
        </a:p>
      </c:txPr>
    </c:legend>
    <c:plotVisOnly val="1"/>
    <c:dispBlanksAs val="gap"/>
    <c:showDLblsOverMax val="0"/>
  </c:chart>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1"/>
          <c:order val="1"/>
          <c:tx>
            <c:strRef>
              <c:f>'Feb''15'!$H$2</c:f>
              <c:strCache>
                <c:ptCount val="1"/>
                <c:pt idx="0">
                  <c:v>electricity produced (kWh/day)</c:v>
                </c:pt>
              </c:strCache>
            </c:strRef>
          </c:tx>
          <c:spPr>
            <a:ln w="47625">
              <a:noFill/>
            </a:ln>
          </c:spPr>
          <c:invertIfNegative val="0"/>
          <c:cat>
            <c:numRef>
              <c:f>'Feb''15'!$F$3:$F$30</c:f>
              <c:numCache>
                <c:formatCode>0</c:formatCode>
                <c:ptCount val="28"/>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numCache>
            </c:numRef>
          </c:cat>
          <c:val>
            <c:numRef>
              <c:f>'Feb''15'!$H$3:$H$30</c:f>
              <c:numCache>
                <c:formatCode>#,##0</c:formatCode>
                <c:ptCount val="28"/>
                <c:pt idx="0">
                  <c:v>2818.285714285714</c:v>
                </c:pt>
                <c:pt idx="1">
                  <c:v>2736.484848484848</c:v>
                </c:pt>
                <c:pt idx="2">
                  <c:v>2535.529411764706</c:v>
                </c:pt>
                <c:pt idx="3">
                  <c:v>2486.88427300906</c:v>
                </c:pt>
                <c:pt idx="4">
                  <c:v>2201.290322576511</c:v>
                </c:pt>
                <c:pt idx="5">
                  <c:v>2013.389121336951</c:v>
                </c:pt>
                <c:pt idx="6">
                  <c:v>2482.036363640566</c:v>
                </c:pt>
                <c:pt idx="7">
                  <c:v>1930.0</c:v>
                </c:pt>
                <c:pt idx="8">
                  <c:v>1414.3620178022</c:v>
                </c:pt>
                <c:pt idx="9">
                  <c:v>3060.82695251916</c:v>
                </c:pt>
                <c:pt idx="10">
                  <c:v>2945.969935584581</c:v>
                </c:pt>
                <c:pt idx="11">
                  <c:v>3497.293343079308</c:v>
                </c:pt>
                <c:pt idx="12">
                  <c:v>3568.438356158693</c:v>
                </c:pt>
                <c:pt idx="13">
                  <c:v>3136.633663380798</c:v>
                </c:pt>
                <c:pt idx="14">
                  <c:v>413.5640138391645</c:v>
                </c:pt>
                <c:pt idx="15">
                  <c:v>2695.0</c:v>
                </c:pt>
                <c:pt idx="16">
                  <c:v>655.3043478294038</c:v>
                </c:pt>
                <c:pt idx="17">
                  <c:v>3586.18925829814</c:v>
                </c:pt>
                <c:pt idx="18">
                  <c:v>3048.339538351212</c:v>
                </c:pt>
                <c:pt idx="19">
                  <c:v>2862.521915029447</c:v>
                </c:pt>
                <c:pt idx="20">
                  <c:v>2994.680691207521</c:v>
                </c:pt>
                <c:pt idx="21">
                  <c:v>3449.440993793809</c:v>
                </c:pt>
                <c:pt idx="22">
                  <c:v>2991.223513325444</c:v>
                </c:pt>
                <c:pt idx="23">
                  <c:v>0.0</c:v>
                </c:pt>
                <c:pt idx="24">
                  <c:v>5826.976744186046</c:v>
                </c:pt>
                <c:pt idx="25">
                  <c:v>1553.87149918045</c:v>
                </c:pt>
                <c:pt idx="26">
                  <c:v>4335.65217389384</c:v>
                </c:pt>
                <c:pt idx="27">
                  <c:v>4388.425531925763</c:v>
                </c:pt>
              </c:numCache>
            </c:numRef>
          </c:val>
        </c:ser>
        <c:dLbls>
          <c:showLegendKey val="0"/>
          <c:showVal val="0"/>
          <c:showCatName val="0"/>
          <c:showSerName val="0"/>
          <c:showPercent val="0"/>
          <c:showBubbleSize val="0"/>
        </c:dLbls>
        <c:gapWidth val="10"/>
        <c:axId val="2107223560"/>
        <c:axId val="2107229160"/>
      </c:barChart>
      <c:scatterChart>
        <c:scatterStyle val="lineMarker"/>
        <c:varyColors val="0"/>
        <c:ser>
          <c:idx val="0"/>
          <c:order val="0"/>
          <c:tx>
            <c:strRef>
              <c:f>'Feb''15'!$G$2</c:f>
              <c:strCache>
                <c:ptCount val="1"/>
                <c:pt idx="0">
                  <c:v>electricity consumed (kWh/day)</c:v>
                </c:pt>
              </c:strCache>
            </c:strRef>
          </c:tx>
          <c:spPr>
            <a:ln w="47625">
              <a:noFill/>
            </a:ln>
          </c:spPr>
          <c:marker>
            <c:symbol val="circle"/>
            <c:size val="12"/>
            <c:spPr>
              <a:solidFill>
                <a:schemeClr val="bg1"/>
              </a:solidFill>
              <a:ln>
                <a:solidFill>
                  <a:srgbClr val="FF0000"/>
                </a:solidFill>
              </a:ln>
            </c:spPr>
          </c:marker>
          <c:xVal>
            <c:numRef>
              <c:f>'Feb''15'!$F$3:$F$30</c:f>
              <c:numCache>
                <c:formatCode>0</c:formatCode>
                <c:ptCount val="28"/>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numCache>
            </c:numRef>
          </c:xVal>
          <c:yVal>
            <c:numRef>
              <c:f>'Feb''15'!$G$3:$G$30</c:f>
              <c:numCache>
                <c:formatCode>#,##0</c:formatCode>
                <c:ptCount val="28"/>
                <c:pt idx="0">
                  <c:v>561.1428571428571</c:v>
                </c:pt>
                <c:pt idx="1">
                  <c:v>577.9393939393938</c:v>
                </c:pt>
                <c:pt idx="2">
                  <c:v>587.2941176470587</c:v>
                </c:pt>
                <c:pt idx="3">
                  <c:v>560.6172106852039</c:v>
                </c:pt>
                <c:pt idx="4">
                  <c:v>535.4838709667365</c:v>
                </c:pt>
                <c:pt idx="5">
                  <c:v>580.4184100412756</c:v>
                </c:pt>
                <c:pt idx="6">
                  <c:v>549.8181818191128</c:v>
                </c:pt>
                <c:pt idx="7">
                  <c:v>538.0</c:v>
                </c:pt>
                <c:pt idx="8">
                  <c:v>582.8367952514202</c:v>
                </c:pt>
                <c:pt idx="9">
                  <c:v>605.3292496156407</c:v>
                </c:pt>
                <c:pt idx="10">
                  <c:v>593.7294201877953</c:v>
                </c:pt>
                <c:pt idx="11">
                  <c:v>595.1719092890991</c:v>
                </c:pt>
                <c:pt idx="12">
                  <c:v>742.684931505665</c:v>
                </c:pt>
                <c:pt idx="13">
                  <c:v>703.3663366369062</c:v>
                </c:pt>
                <c:pt idx="14">
                  <c:v>556.0692041500092</c:v>
                </c:pt>
                <c:pt idx="15">
                  <c:v>557.0</c:v>
                </c:pt>
                <c:pt idx="16">
                  <c:v>690.7826086991486</c:v>
                </c:pt>
                <c:pt idx="17">
                  <c:v>694.2199488464178</c:v>
                </c:pt>
                <c:pt idx="18">
                  <c:v>595.0856291892095</c:v>
                </c:pt>
                <c:pt idx="19">
                  <c:v>635.0370869841446</c:v>
                </c:pt>
                <c:pt idx="20">
                  <c:v>781.1269722008057</c:v>
                </c:pt>
                <c:pt idx="21">
                  <c:v>643.9751552804344</c:v>
                </c:pt>
                <c:pt idx="22">
                  <c:v>569.8974709494675</c:v>
                </c:pt>
                <c:pt idx="23">
                  <c:v>0.0</c:v>
                </c:pt>
                <c:pt idx="24">
                  <c:v>967.4418604651163</c:v>
                </c:pt>
                <c:pt idx="25">
                  <c:v>707.7429983544539</c:v>
                </c:pt>
                <c:pt idx="26">
                  <c:v>536.0869565193648</c:v>
                </c:pt>
                <c:pt idx="27">
                  <c:v>597.4468085121181</c:v>
                </c:pt>
              </c:numCache>
            </c:numRef>
          </c:yVal>
          <c:smooth val="0"/>
        </c:ser>
        <c:dLbls>
          <c:showLegendKey val="0"/>
          <c:showVal val="0"/>
          <c:showCatName val="0"/>
          <c:showSerName val="0"/>
          <c:showPercent val="0"/>
          <c:showBubbleSize val="0"/>
        </c:dLbls>
        <c:axId val="2107223560"/>
        <c:axId val="2107229160"/>
      </c:scatterChart>
      <c:catAx>
        <c:axId val="2107223560"/>
        <c:scaling>
          <c:orientation val="minMax"/>
        </c:scaling>
        <c:delete val="0"/>
        <c:axPos val="b"/>
        <c:numFmt formatCode="0" sourceLinked="1"/>
        <c:majorTickMark val="out"/>
        <c:minorTickMark val="none"/>
        <c:tickLblPos val="nextTo"/>
        <c:crossAx val="2107229160"/>
        <c:crosses val="autoZero"/>
        <c:auto val="1"/>
        <c:lblAlgn val="ctr"/>
        <c:lblOffset val="100"/>
        <c:noMultiLvlLbl val="1"/>
      </c:catAx>
      <c:valAx>
        <c:axId val="2107229160"/>
        <c:scaling>
          <c:orientation val="minMax"/>
          <c:max val="9000.0"/>
        </c:scaling>
        <c:delete val="0"/>
        <c:axPos val="l"/>
        <c:title>
          <c:tx>
            <c:rich>
              <a:bodyPr rot="-5400000" vert="horz"/>
              <a:lstStyle/>
              <a:p>
                <a:pPr>
                  <a:defRPr sz="1200"/>
                </a:pPr>
                <a:r>
                  <a:rPr lang="en-US" sz="1200"/>
                  <a:t>electricity</a:t>
                </a:r>
                <a:r>
                  <a:rPr lang="en-US" sz="1200" baseline="0"/>
                  <a:t> (kWh/day)</a:t>
                </a:r>
                <a:endParaRPr lang="en-US" sz="1200"/>
              </a:p>
            </c:rich>
          </c:tx>
          <c:overlay val="0"/>
        </c:title>
        <c:numFmt formatCode="#,##0" sourceLinked="1"/>
        <c:majorTickMark val="out"/>
        <c:minorTickMark val="none"/>
        <c:tickLblPos val="nextTo"/>
        <c:txPr>
          <a:bodyPr/>
          <a:lstStyle/>
          <a:p>
            <a:pPr>
              <a:defRPr sz="1200"/>
            </a:pPr>
            <a:endParaRPr lang="en-US"/>
          </a:p>
        </c:txPr>
        <c:crossAx val="2107223560"/>
        <c:crosses val="autoZero"/>
        <c:crossBetween val="between"/>
      </c:valAx>
      <c:spPr>
        <a:noFill/>
        <a:ln>
          <a:noFill/>
        </a:ln>
      </c:spPr>
    </c:plotArea>
    <c:legend>
      <c:legendPos val="r"/>
      <c:layout>
        <c:manualLayout>
          <c:xMode val="edge"/>
          <c:yMode val="edge"/>
          <c:x val="0.130571651516533"/>
          <c:y val="0.245105668011037"/>
          <c:w val="0.161479342109263"/>
          <c:h val="0.181357671733435"/>
        </c:manualLayout>
      </c:layout>
      <c:overlay val="0"/>
      <c:txPr>
        <a:bodyPr/>
        <a:lstStyle/>
        <a:p>
          <a:pPr>
            <a:defRPr sz="1200"/>
          </a:pPr>
          <a:endParaRPr lang="en-US"/>
        </a:p>
      </c:txPr>
    </c:legend>
    <c:plotVisOnly val="1"/>
    <c:dispBlanksAs val="gap"/>
    <c:showDLblsOverMax val="0"/>
  </c:chart>
  <c:spPr>
    <a:noFill/>
    <a:ln>
      <a:noFill/>
    </a:ln>
  </c:spPr>
  <c:printSettings>
    <c:headerFooter/>
    <c:pageMargins b="1.0" l="0.75" r="0.75" t="1.0" header="0.5" footer="0.5"/>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lineMarker"/>
        <c:varyColors val="0"/>
        <c:ser>
          <c:idx val="0"/>
          <c:order val="0"/>
          <c:tx>
            <c:strRef>
              <c:f>'Jun''15'!$L$2</c:f>
              <c:strCache>
                <c:ptCount val="1"/>
                <c:pt idx="0">
                  <c:v>hydroylzer Ripley ratio</c:v>
                </c:pt>
              </c:strCache>
            </c:strRef>
          </c:tx>
          <c:spPr>
            <a:ln w="47625">
              <a:noFill/>
            </a:ln>
          </c:spPr>
          <c:xVal>
            <c:numRef>
              <c:f>'Jun''15'!$K$3:$K$32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xVal>
          <c:yVal>
            <c:numRef>
              <c:f>'Jun''15'!$L$3:$L$32</c:f>
              <c:numCache>
                <c:formatCode>General</c:formatCode>
                <c:ptCount val="30"/>
              </c:numCache>
            </c:numRef>
          </c:yVal>
          <c:smooth val="0"/>
        </c:ser>
        <c:ser>
          <c:idx val="1"/>
          <c:order val="1"/>
          <c:tx>
            <c:strRef>
              <c:f>'Jun''15'!$M$2</c:f>
              <c:strCache>
                <c:ptCount val="1"/>
                <c:pt idx="0">
                  <c:v>AD Ripley ratio</c:v>
                </c:pt>
              </c:strCache>
            </c:strRef>
          </c:tx>
          <c:spPr>
            <a:ln w="47625">
              <a:noFill/>
            </a:ln>
          </c:spPr>
          <c:xVal>
            <c:numRef>
              <c:f>'Jun''15'!$K$3:$K$32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xVal>
          <c:yVal>
            <c:numRef>
              <c:f>'Jun''15'!$M$3:$M$32</c:f>
              <c:numCache>
                <c:formatCode>0</c:formatCode>
                <c:ptCount val="30"/>
                <c:pt idx="3" formatCode="0.00">
                  <c:v>0.856666666666667</c:v>
                </c:pt>
                <c:pt idx="7" formatCode="0.00">
                  <c:v>0.85</c:v>
                </c:pt>
                <c:pt idx="11" formatCode="0.00">
                  <c:v>0.796666666666666</c:v>
                </c:pt>
                <c:pt idx="17" formatCode="0.00">
                  <c:v>0.733333333333333</c:v>
                </c:pt>
                <c:pt idx="25" formatCode="0.00">
                  <c:v>0.763333333333333</c:v>
                </c:pt>
                <c:pt idx="29" formatCode="0.00">
                  <c:v>0.636666666666667</c:v>
                </c:pt>
              </c:numCache>
            </c:numRef>
          </c:yVal>
          <c:smooth val="0"/>
        </c:ser>
        <c:dLbls>
          <c:showLegendKey val="0"/>
          <c:showVal val="0"/>
          <c:showCatName val="0"/>
          <c:showSerName val="0"/>
          <c:showPercent val="0"/>
          <c:showBubbleSize val="0"/>
        </c:dLbls>
        <c:axId val="2110105704"/>
        <c:axId val="2110108712"/>
      </c:scatterChart>
      <c:valAx>
        <c:axId val="2110105704"/>
        <c:scaling>
          <c:orientation val="minMax"/>
          <c:max val="30.0"/>
        </c:scaling>
        <c:delete val="0"/>
        <c:axPos val="b"/>
        <c:numFmt formatCode="0" sourceLinked="1"/>
        <c:majorTickMark val="out"/>
        <c:minorTickMark val="none"/>
        <c:tickLblPos val="nextTo"/>
        <c:crossAx val="2110108712"/>
        <c:crosses val="autoZero"/>
        <c:crossBetween val="midCat"/>
      </c:valAx>
      <c:valAx>
        <c:axId val="2110108712"/>
        <c:scaling>
          <c:orientation val="minMax"/>
        </c:scaling>
        <c:delete val="0"/>
        <c:axPos val="l"/>
        <c:title>
          <c:tx>
            <c:rich>
              <a:bodyPr rot="-5400000" vert="horz"/>
              <a:lstStyle/>
              <a:p>
                <a:pPr>
                  <a:defRPr sz="1200"/>
                </a:pPr>
                <a:r>
                  <a:rPr lang="en-US" sz="1200"/>
                  <a:t>Ripley ratio </a:t>
                </a:r>
              </a:p>
            </c:rich>
          </c:tx>
          <c:layout/>
          <c:overlay val="0"/>
        </c:title>
        <c:numFmt formatCode="General" sourceLinked="1"/>
        <c:majorTickMark val="out"/>
        <c:minorTickMark val="none"/>
        <c:tickLblPos val="nextTo"/>
        <c:txPr>
          <a:bodyPr/>
          <a:lstStyle/>
          <a:p>
            <a:pPr>
              <a:defRPr sz="1200" b="1" i="0"/>
            </a:pPr>
            <a:endParaRPr lang="en-US"/>
          </a:p>
        </c:txPr>
        <c:crossAx val="2110105704"/>
        <c:crosses val="autoZero"/>
        <c:crossBetween val="midCat"/>
      </c:valAx>
    </c:plotArea>
    <c:legend>
      <c:legendPos val="r"/>
      <c:layout/>
      <c:overlay val="0"/>
    </c:legend>
    <c:plotVisOnly val="1"/>
    <c:dispBlanksAs val="gap"/>
    <c:showDLblsOverMax val="0"/>
  </c:chart>
  <c:printSettings>
    <c:headerFooter/>
    <c:pageMargins b="1.0" l="0.75" r="0.75" t="1.0" header="0.5" footer="0.5"/>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lineMarker"/>
        <c:varyColors val="0"/>
        <c:ser>
          <c:idx val="0"/>
          <c:order val="0"/>
          <c:tx>
            <c:strRef>
              <c:f>'Jun''15'!$I$2</c:f>
              <c:strCache>
                <c:ptCount val="1"/>
                <c:pt idx="0">
                  <c:v>Hydrolyzer pH</c:v>
                </c:pt>
              </c:strCache>
            </c:strRef>
          </c:tx>
          <c:spPr>
            <a:ln w="47625">
              <a:noFill/>
            </a:ln>
          </c:spPr>
          <c:marker>
            <c:symbol val="triangle"/>
            <c:size val="15"/>
            <c:spPr>
              <a:solidFill>
                <a:schemeClr val="bg1"/>
              </a:solidFill>
              <a:ln>
                <a:solidFill>
                  <a:srgbClr val="0000FF"/>
                </a:solidFill>
              </a:ln>
            </c:spPr>
          </c:marker>
          <c:xVal>
            <c:numRef>
              <c:f>'Jun''15'!$H$3:$H$32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xVal>
          <c:yVal>
            <c:numRef>
              <c:f>'Jun''15'!$I$3:$I$32</c:f>
              <c:numCache>
                <c:formatCode>0.00</c:formatCode>
                <c:ptCount val="30"/>
                <c:pt idx="0">
                  <c:v>5.35</c:v>
                </c:pt>
                <c:pt idx="3">
                  <c:v>5.15</c:v>
                </c:pt>
                <c:pt idx="7">
                  <c:v>5.34</c:v>
                </c:pt>
                <c:pt idx="8">
                  <c:v>5.08</c:v>
                </c:pt>
                <c:pt idx="10">
                  <c:v>4.97</c:v>
                </c:pt>
                <c:pt idx="11">
                  <c:v>4.88</c:v>
                </c:pt>
                <c:pt idx="15">
                  <c:v>5.16</c:v>
                </c:pt>
                <c:pt idx="16">
                  <c:v>5.1</c:v>
                </c:pt>
                <c:pt idx="17">
                  <c:v>5.2</c:v>
                </c:pt>
                <c:pt idx="18">
                  <c:v>5.2</c:v>
                </c:pt>
                <c:pt idx="19">
                  <c:v>5.16</c:v>
                </c:pt>
                <c:pt idx="20">
                  <c:v>5.15</c:v>
                </c:pt>
                <c:pt idx="21">
                  <c:v>5.25</c:v>
                </c:pt>
                <c:pt idx="22">
                  <c:v>5.42</c:v>
                </c:pt>
                <c:pt idx="23">
                  <c:v>5.29</c:v>
                </c:pt>
                <c:pt idx="24">
                  <c:v>5.27</c:v>
                </c:pt>
                <c:pt idx="25">
                  <c:v>5.12</c:v>
                </c:pt>
                <c:pt idx="26">
                  <c:v>5.15</c:v>
                </c:pt>
                <c:pt idx="27">
                  <c:v>5.23</c:v>
                </c:pt>
                <c:pt idx="28" formatCode="General">
                  <c:v>5.41</c:v>
                </c:pt>
                <c:pt idx="29" formatCode="General">
                  <c:v>5.53</c:v>
                </c:pt>
              </c:numCache>
            </c:numRef>
          </c:yVal>
          <c:smooth val="0"/>
        </c:ser>
        <c:ser>
          <c:idx val="1"/>
          <c:order val="1"/>
          <c:tx>
            <c:strRef>
              <c:f>'Jun''15'!$J$2</c:f>
              <c:strCache>
                <c:ptCount val="1"/>
                <c:pt idx="0">
                  <c:v>AD pH</c:v>
                </c:pt>
              </c:strCache>
            </c:strRef>
          </c:tx>
          <c:spPr>
            <a:ln w="25400">
              <a:noFill/>
            </a:ln>
          </c:spPr>
          <c:marker>
            <c:symbol val="triangle"/>
            <c:size val="15"/>
            <c:spPr>
              <a:solidFill>
                <a:srgbClr val="0000FF"/>
              </a:solidFill>
              <a:ln>
                <a:solidFill>
                  <a:srgbClr val="0000FF"/>
                </a:solidFill>
              </a:ln>
            </c:spPr>
          </c:marker>
          <c:xVal>
            <c:numRef>
              <c:f>'Jun''15'!$H$3:$H$32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xVal>
          <c:yVal>
            <c:numRef>
              <c:f>'Jun''15'!$J$3:$J$32</c:f>
              <c:numCache>
                <c:formatCode>General</c:formatCode>
                <c:ptCount val="30"/>
                <c:pt idx="0">
                  <c:v>7.02</c:v>
                </c:pt>
                <c:pt idx="3">
                  <c:v>7.02</c:v>
                </c:pt>
                <c:pt idx="7">
                  <c:v>7.09</c:v>
                </c:pt>
                <c:pt idx="8">
                  <c:v>7.06</c:v>
                </c:pt>
                <c:pt idx="10">
                  <c:v>7.04</c:v>
                </c:pt>
                <c:pt idx="11">
                  <c:v>7.11</c:v>
                </c:pt>
                <c:pt idx="15">
                  <c:v>7.09</c:v>
                </c:pt>
                <c:pt idx="16">
                  <c:v>7.1</c:v>
                </c:pt>
                <c:pt idx="17">
                  <c:v>7.16</c:v>
                </c:pt>
                <c:pt idx="18">
                  <c:v>7.14</c:v>
                </c:pt>
                <c:pt idx="19">
                  <c:v>7.13</c:v>
                </c:pt>
                <c:pt idx="20">
                  <c:v>7.11</c:v>
                </c:pt>
                <c:pt idx="21">
                  <c:v>7.16</c:v>
                </c:pt>
                <c:pt idx="22">
                  <c:v>7.12</c:v>
                </c:pt>
                <c:pt idx="23">
                  <c:v>7.12</c:v>
                </c:pt>
                <c:pt idx="24">
                  <c:v>7.18</c:v>
                </c:pt>
                <c:pt idx="25">
                  <c:v>7.21</c:v>
                </c:pt>
                <c:pt idx="26">
                  <c:v>7.2</c:v>
                </c:pt>
                <c:pt idx="27">
                  <c:v>7.15</c:v>
                </c:pt>
                <c:pt idx="28">
                  <c:v>7.19</c:v>
                </c:pt>
                <c:pt idx="29">
                  <c:v>7.18</c:v>
                </c:pt>
              </c:numCache>
            </c:numRef>
          </c:yVal>
          <c:smooth val="0"/>
        </c:ser>
        <c:dLbls>
          <c:showLegendKey val="0"/>
          <c:showVal val="0"/>
          <c:showCatName val="0"/>
          <c:showSerName val="0"/>
          <c:showPercent val="0"/>
          <c:showBubbleSize val="0"/>
        </c:dLbls>
        <c:axId val="2108597192"/>
        <c:axId val="2108602872"/>
      </c:scatterChart>
      <c:valAx>
        <c:axId val="2108597192"/>
        <c:scaling>
          <c:orientation val="minMax"/>
          <c:max val="30.0"/>
        </c:scaling>
        <c:delete val="0"/>
        <c:axPos val="b"/>
        <c:numFmt formatCode="0" sourceLinked="1"/>
        <c:majorTickMark val="out"/>
        <c:minorTickMark val="none"/>
        <c:tickLblPos val="nextTo"/>
        <c:txPr>
          <a:bodyPr/>
          <a:lstStyle/>
          <a:p>
            <a:pPr>
              <a:defRPr sz="1000" b="0" i="0"/>
            </a:pPr>
            <a:endParaRPr lang="en-US"/>
          </a:p>
        </c:txPr>
        <c:crossAx val="2108602872"/>
        <c:crosses val="autoZero"/>
        <c:crossBetween val="midCat"/>
      </c:valAx>
      <c:valAx>
        <c:axId val="2108602872"/>
        <c:scaling>
          <c:orientation val="minMax"/>
          <c:max val="8.0"/>
          <c:min val="4.0"/>
        </c:scaling>
        <c:delete val="0"/>
        <c:axPos val="l"/>
        <c:title>
          <c:tx>
            <c:rich>
              <a:bodyPr rot="-5400000" vert="horz"/>
              <a:lstStyle/>
              <a:p>
                <a:pPr>
                  <a:defRPr sz="1200"/>
                </a:pPr>
                <a:r>
                  <a:rPr lang="en-US" sz="1200"/>
                  <a:t>pH</a:t>
                </a:r>
              </a:p>
            </c:rich>
          </c:tx>
          <c:layout/>
          <c:overlay val="0"/>
        </c:title>
        <c:numFmt formatCode="0.00" sourceLinked="1"/>
        <c:majorTickMark val="out"/>
        <c:minorTickMark val="none"/>
        <c:tickLblPos val="nextTo"/>
        <c:txPr>
          <a:bodyPr/>
          <a:lstStyle/>
          <a:p>
            <a:pPr>
              <a:defRPr sz="1200" b="1" i="0"/>
            </a:pPr>
            <a:endParaRPr lang="en-US"/>
          </a:p>
        </c:txPr>
        <c:crossAx val="2108597192"/>
        <c:crosses val="autoZero"/>
        <c:crossBetween val="midCat"/>
      </c:valAx>
    </c:plotArea>
    <c:legend>
      <c:legendPos val="r"/>
      <c:layout/>
      <c:overlay val="0"/>
    </c:legend>
    <c:plotVisOnly val="1"/>
    <c:dispBlanksAs val="gap"/>
    <c:showDLblsOverMax val="0"/>
  </c:chart>
  <c:printSettings>
    <c:headerFooter/>
    <c:pageMargins b="1.0" l="0.75" r="0.75" t="1.0" header="0.5" footer="0.5"/>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stacked"/>
        <c:varyColors val="0"/>
        <c:ser>
          <c:idx val="0"/>
          <c:order val="0"/>
          <c:tx>
            <c:strRef>
              <c:f>'Jun''15'!$O$2</c:f>
              <c:strCache>
                <c:ptCount val="1"/>
                <c:pt idx="0">
                  <c:v>Hydrolyzer TA (mg/L CaCO3)</c:v>
                </c:pt>
              </c:strCache>
            </c:strRef>
          </c:tx>
          <c:spPr>
            <a:ln w="47625">
              <a:noFill/>
            </a:ln>
          </c:spPr>
          <c:invertIfNegative val="0"/>
          <c:cat>
            <c:numRef>
              <c:f>'Jun''15'!$N$3:$N$32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cat>
          <c:val>
            <c:numRef>
              <c:f>'Jun''15'!$O$3:$O$32</c:f>
              <c:numCache>
                <c:formatCode>_(* #,##0_);_(* \(#,##0\);_(* "-"??_);_(@_)</c:formatCode>
                <c:ptCount val="30"/>
                <c:pt idx="3">
                  <c:v>2837.5</c:v>
                </c:pt>
                <c:pt idx="11">
                  <c:v>1766.666666666667</c:v>
                </c:pt>
                <c:pt idx="17">
                  <c:v>2225.0</c:v>
                </c:pt>
                <c:pt idx="25">
                  <c:v>2308.333333333333</c:v>
                </c:pt>
              </c:numCache>
            </c:numRef>
          </c:val>
        </c:ser>
        <c:ser>
          <c:idx val="3"/>
          <c:order val="2"/>
          <c:tx>
            <c:strRef>
              <c:f>'Jun''15'!$R$2</c:f>
              <c:strCache>
                <c:ptCount val="1"/>
                <c:pt idx="0">
                  <c:v>AD TA (mg/L CaCO3)</c:v>
                </c:pt>
              </c:strCache>
            </c:strRef>
          </c:tx>
          <c:spPr>
            <a:ln w="47625">
              <a:noFill/>
            </a:ln>
          </c:spPr>
          <c:invertIfNegative val="0"/>
          <c:cat>
            <c:numRef>
              <c:f>'Jun''15'!$N$3:$N$32</c:f>
              <c:numCache>
                <c:formatCode>0</c:formatCode>
                <c:ptCount val="3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numCache>
            </c:numRef>
          </c:cat>
          <c:val>
            <c:numRef>
              <c:f>'Jun''15'!$R$3:$R$32</c:f>
              <c:numCache>
                <c:formatCode>_(* #,##0_);_(* \(#,##0\);_(* "-"??_);_(@_)</c:formatCode>
                <c:ptCount val="30"/>
                <c:pt idx="3">
                  <c:v>5725.0</c:v>
                </c:pt>
                <c:pt idx="11">
                  <c:v>5179.166666666666</c:v>
                </c:pt>
                <c:pt idx="17">
                  <c:v>5150.0</c:v>
                </c:pt>
                <c:pt idx="25">
                  <c:v>5441.666666666666</c:v>
                </c:pt>
                <c:pt idx="29">
                  <c:v>5433.333333333333</c:v>
                </c:pt>
              </c:numCache>
            </c:numRef>
          </c:val>
        </c:ser>
        <c:ser>
          <c:idx val="1"/>
          <c:order val="1"/>
          <c:tx>
            <c:strRef>
              <c:f>'Jun''15'!$P$2</c:f>
              <c:strCache>
                <c:ptCount val="1"/>
                <c:pt idx="0">
                  <c:v>hydrolyzer PA (mg/L CaCO3)</c:v>
                </c:pt>
              </c:strCache>
            </c:strRef>
          </c:tx>
          <c:spPr>
            <a:ln w="47625">
              <a:noFill/>
            </a:ln>
          </c:spPr>
          <c:invertIfNegative val="0"/>
          <c:val>
            <c:numRef>
              <c:f>'Jun''15'!$P$3:$P$32</c:f>
              <c:numCache>
                <c:formatCode>_(* #,##0_);_(* \(#,##0\);_(* "-"??_);_(@_)</c:formatCode>
                <c:ptCount val="30"/>
              </c:numCache>
            </c:numRef>
          </c:val>
        </c:ser>
        <c:ser>
          <c:idx val="4"/>
          <c:order val="3"/>
          <c:tx>
            <c:strRef>
              <c:f>'Jun''15'!$S$2</c:f>
              <c:strCache>
                <c:ptCount val="1"/>
                <c:pt idx="0">
                  <c:v>AD PA (mg/L CaCO3)</c:v>
                </c:pt>
              </c:strCache>
            </c:strRef>
          </c:tx>
          <c:spPr>
            <a:ln w="47625">
              <a:noFill/>
            </a:ln>
          </c:spPr>
          <c:invertIfNegative val="0"/>
          <c:val>
            <c:numRef>
              <c:f>'Jun''15'!$S$3:$S$32</c:f>
              <c:numCache>
                <c:formatCode>_(* #,##0_);_(* \(#,##0\);_(* "-"??_);_(@_)</c:formatCode>
                <c:ptCount val="30"/>
                <c:pt idx="3">
                  <c:v>2825.0</c:v>
                </c:pt>
                <c:pt idx="11">
                  <c:v>2650.0</c:v>
                </c:pt>
                <c:pt idx="17">
                  <c:v>2733.333333333333</c:v>
                </c:pt>
                <c:pt idx="25">
                  <c:v>2875.0</c:v>
                </c:pt>
                <c:pt idx="29">
                  <c:v>3008.333333333333</c:v>
                </c:pt>
              </c:numCache>
            </c:numRef>
          </c:val>
        </c:ser>
        <c:ser>
          <c:idx val="5"/>
          <c:order val="4"/>
          <c:tx>
            <c:strRef>
              <c:f>'Jun''15'!$T$2</c:f>
              <c:strCache>
                <c:ptCount val="1"/>
                <c:pt idx="0">
                  <c:v>AD IA (mg/L CaCO3)</c:v>
                </c:pt>
              </c:strCache>
            </c:strRef>
          </c:tx>
          <c:spPr>
            <a:ln w="47625">
              <a:noFill/>
            </a:ln>
          </c:spPr>
          <c:invertIfNegative val="0"/>
          <c:val>
            <c:numRef>
              <c:f>'Jun''15'!$T$3:$T$32</c:f>
              <c:numCache>
                <c:formatCode>_(* #,##0_);_(* \(#,##0\);_(* "-"??_);_(@_)</c:formatCode>
                <c:ptCount val="30"/>
                <c:pt idx="3">
                  <c:v>2416.666666666667</c:v>
                </c:pt>
                <c:pt idx="11">
                  <c:v>2108.333333333333</c:v>
                </c:pt>
                <c:pt idx="17">
                  <c:v>2000.0</c:v>
                </c:pt>
                <c:pt idx="25">
                  <c:v>2191.666666666667</c:v>
                </c:pt>
                <c:pt idx="29">
                  <c:v>1908.333333333333</c:v>
                </c:pt>
              </c:numCache>
            </c:numRef>
          </c:val>
        </c:ser>
        <c:dLbls>
          <c:showLegendKey val="0"/>
          <c:showVal val="0"/>
          <c:showCatName val="0"/>
          <c:showSerName val="0"/>
          <c:showPercent val="0"/>
          <c:showBubbleSize val="0"/>
        </c:dLbls>
        <c:gapWidth val="10"/>
        <c:overlap val="100"/>
        <c:axId val="2108658536"/>
        <c:axId val="2108661656"/>
      </c:barChart>
      <c:catAx>
        <c:axId val="2108658536"/>
        <c:scaling>
          <c:orientation val="minMax"/>
        </c:scaling>
        <c:delete val="0"/>
        <c:axPos val="b"/>
        <c:numFmt formatCode="0" sourceLinked="1"/>
        <c:majorTickMark val="out"/>
        <c:minorTickMark val="none"/>
        <c:tickLblPos val="nextTo"/>
        <c:crossAx val="2108661656"/>
        <c:crosses val="autoZero"/>
        <c:auto val="1"/>
        <c:lblAlgn val="ctr"/>
        <c:lblOffset val="100"/>
        <c:noMultiLvlLbl val="0"/>
      </c:catAx>
      <c:valAx>
        <c:axId val="2108661656"/>
        <c:scaling>
          <c:orientation val="minMax"/>
        </c:scaling>
        <c:delete val="0"/>
        <c:axPos val="l"/>
        <c:numFmt formatCode="_(* #,##0_);_(* \(#,##0\);_(* &quot;-&quot;??_);_(@_)" sourceLinked="1"/>
        <c:majorTickMark val="out"/>
        <c:minorTickMark val="none"/>
        <c:tickLblPos val="nextTo"/>
        <c:crossAx val="2108658536"/>
        <c:crosses val="autoZero"/>
        <c:crossBetween val="between"/>
      </c:valAx>
    </c:plotArea>
    <c:legend>
      <c:legendPos val="r"/>
      <c:layout/>
      <c:overlay val="0"/>
    </c:legend>
    <c:plotVisOnly val="1"/>
    <c:dispBlanksAs val="gap"/>
    <c:showDLblsOverMax val="0"/>
  </c:chart>
  <c:printSettings>
    <c:headerFooter/>
    <c:pageMargins b="1.0" l="0.75" r="0.75" t="1.0"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lineMarker"/>
        <c:varyColors val="0"/>
        <c:ser>
          <c:idx val="0"/>
          <c:order val="0"/>
          <c:tx>
            <c:strRef>
              <c:f>'Feb''15'!$M$2</c:f>
              <c:strCache>
                <c:ptCount val="1"/>
                <c:pt idx="0">
                  <c:v>hydroylzer Ripley ratio</c:v>
                </c:pt>
              </c:strCache>
            </c:strRef>
          </c:tx>
          <c:spPr>
            <a:ln w="47625">
              <a:noFill/>
            </a:ln>
          </c:spPr>
          <c:xVal>
            <c:numRef>
              <c:f>'Feb''15'!$L$3:$L$30</c:f>
              <c:numCache>
                <c:formatCode>0</c:formatCode>
                <c:ptCount val="28"/>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numCache>
            </c:numRef>
          </c:xVal>
          <c:yVal>
            <c:numRef>
              <c:f>'Feb''15'!$M$3:$M$30</c:f>
              <c:numCache>
                <c:formatCode>0.00</c:formatCode>
                <c:ptCount val="28"/>
              </c:numCache>
            </c:numRef>
          </c:yVal>
          <c:smooth val="0"/>
        </c:ser>
        <c:ser>
          <c:idx val="1"/>
          <c:order val="1"/>
          <c:tx>
            <c:strRef>
              <c:f>'Feb''15'!$N$2</c:f>
              <c:strCache>
                <c:ptCount val="1"/>
                <c:pt idx="0">
                  <c:v>AD Ripley ratio</c:v>
                </c:pt>
              </c:strCache>
            </c:strRef>
          </c:tx>
          <c:spPr>
            <a:ln w="47625">
              <a:noFill/>
            </a:ln>
          </c:spPr>
          <c:xVal>
            <c:numRef>
              <c:f>'Feb''15'!$L$3:$L$30</c:f>
              <c:numCache>
                <c:formatCode>0</c:formatCode>
                <c:ptCount val="28"/>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numCache>
            </c:numRef>
          </c:xVal>
          <c:yVal>
            <c:numRef>
              <c:f>'Feb''15'!$N$3:$N$30</c:f>
              <c:numCache>
                <c:formatCode>0.00</c:formatCode>
                <c:ptCount val="28"/>
                <c:pt idx="26">
                  <c:v>0.21</c:v>
                </c:pt>
              </c:numCache>
            </c:numRef>
          </c:yVal>
          <c:smooth val="0"/>
        </c:ser>
        <c:dLbls>
          <c:showLegendKey val="0"/>
          <c:showVal val="0"/>
          <c:showCatName val="0"/>
          <c:showSerName val="0"/>
          <c:showPercent val="0"/>
          <c:showBubbleSize val="0"/>
        </c:dLbls>
        <c:axId val="2107262264"/>
        <c:axId val="2107265336"/>
      </c:scatterChart>
      <c:valAx>
        <c:axId val="2107262264"/>
        <c:scaling>
          <c:orientation val="minMax"/>
          <c:max val="30.0"/>
        </c:scaling>
        <c:delete val="0"/>
        <c:axPos val="b"/>
        <c:numFmt formatCode="0" sourceLinked="1"/>
        <c:majorTickMark val="out"/>
        <c:minorTickMark val="none"/>
        <c:tickLblPos val="nextTo"/>
        <c:crossAx val="2107265336"/>
        <c:crosses val="autoZero"/>
        <c:crossBetween val="midCat"/>
      </c:valAx>
      <c:valAx>
        <c:axId val="2107265336"/>
        <c:scaling>
          <c:orientation val="minMax"/>
          <c:max val="0.9"/>
        </c:scaling>
        <c:delete val="0"/>
        <c:axPos val="l"/>
        <c:title>
          <c:tx>
            <c:rich>
              <a:bodyPr rot="-5400000" vert="horz"/>
              <a:lstStyle/>
              <a:p>
                <a:pPr>
                  <a:defRPr sz="1200"/>
                </a:pPr>
                <a:r>
                  <a:rPr lang="en-US" sz="1200"/>
                  <a:t>Ripley ratio </a:t>
                </a:r>
              </a:p>
            </c:rich>
          </c:tx>
          <c:overlay val="0"/>
        </c:title>
        <c:numFmt formatCode="0.00" sourceLinked="1"/>
        <c:majorTickMark val="out"/>
        <c:minorTickMark val="none"/>
        <c:tickLblPos val="nextTo"/>
        <c:txPr>
          <a:bodyPr/>
          <a:lstStyle/>
          <a:p>
            <a:pPr>
              <a:defRPr sz="1200" b="1" i="0"/>
            </a:pPr>
            <a:endParaRPr lang="en-US"/>
          </a:p>
        </c:txPr>
        <c:crossAx val="2107262264"/>
        <c:crosses val="autoZero"/>
        <c:crossBetween val="midCat"/>
      </c:valAx>
      <c:spPr>
        <a:noFill/>
        <a:ln>
          <a:noFill/>
        </a:ln>
      </c:spPr>
    </c:plotArea>
    <c:legend>
      <c:legendPos val="r"/>
      <c:layout>
        <c:manualLayout>
          <c:xMode val="edge"/>
          <c:yMode val="edge"/>
          <c:x val="0.619777021940645"/>
          <c:y val="0.179541952855816"/>
          <c:w val="0.154123885247073"/>
          <c:h val="0.11282550582877"/>
        </c:manualLayout>
      </c:layout>
      <c:overlay val="0"/>
    </c:legend>
    <c:plotVisOnly val="1"/>
    <c:dispBlanksAs val="gap"/>
    <c:showDLblsOverMax val="0"/>
  </c:chart>
  <c:spPr>
    <a:noFill/>
    <a:ln>
      <a:noFill/>
    </a:ln>
  </c:spPr>
  <c:printSettings>
    <c:headerFooter/>
    <c:pageMargins b="1.0" l="0.75" r="0.75" t="1.0" header="0.5" footer="0.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lineMarker"/>
        <c:varyColors val="0"/>
        <c:ser>
          <c:idx val="0"/>
          <c:order val="0"/>
          <c:tx>
            <c:strRef>
              <c:f>'Feb''15'!$J$2</c:f>
              <c:strCache>
                <c:ptCount val="1"/>
                <c:pt idx="0">
                  <c:v>Hydrolyzer pH</c:v>
                </c:pt>
              </c:strCache>
            </c:strRef>
          </c:tx>
          <c:spPr>
            <a:ln w="47625">
              <a:noFill/>
            </a:ln>
          </c:spPr>
          <c:marker>
            <c:symbol val="triangle"/>
            <c:size val="15"/>
            <c:spPr>
              <a:solidFill>
                <a:schemeClr val="bg1"/>
              </a:solidFill>
              <a:ln>
                <a:solidFill>
                  <a:srgbClr val="0000FF"/>
                </a:solidFill>
              </a:ln>
            </c:spPr>
          </c:marker>
          <c:xVal>
            <c:numRef>
              <c:f>'Feb''15'!$I$3:$I$30</c:f>
              <c:numCache>
                <c:formatCode>0</c:formatCode>
                <c:ptCount val="28"/>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numCache>
            </c:numRef>
          </c:xVal>
          <c:yVal>
            <c:numRef>
              <c:f>'Feb''15'!$J$3:$J$30</c:f>
              <c:numCache>
                <c:formatCode>0.00</c:formatCode>
                <c:ptCount val="28"/>
                <c:pt idx="1">
                  <c:v>6.1</c:v>
                </c:pt>
                <c:pt idx="2">
                  <c:v>6.19</c:v>
                </c:pt>
                <c:pt idx="3">
                  <c:v>6.28</c:v>
                </c:pt>
                <c:pt idx="4">
                  <c:v>6.16</c:v>
                </c:pt>
                <c:pt idx="5">
                  <c:v>6.08</c:v>
                </c:pt>
                <c:pt idx="6">
                  <c:v>6.11</c:v>
                </c:pt>
                <c:pt idx="7">
                  <c:v>6.11</c:v>
                </c:pt>
                <c:pt idx="8">
                  <c:v>6.23</c:v>
                </c:pt>
                <c:pt idx="9">
                  <c:v>6.27</c:v>
                </c:pt>
                <c:pt idx="10">
                  <c:v>6.14</c:v>
                </c:pt>
                <c:pt idx="11">
                  <c:v>6.24</c:v>
                </c:pt>
                <c:pt idx="12">
                  <c:v>6.13</c:v>
                </c:pt>
                <c:pt idx="13">
                  <c:v>6.1</c:v>
                </c:pt>
                <c:pt idx="14">
                  <c:v>6.2</c:v>
                </c:pt>
                <c:pt idx="16">
                  <c:v>5.81</c:v>
                </c:pt>
                <c:pt idx="17">
                  <c:v>6.05</c:v>
                </c:pt>
                <c:pt idx="18">
                  <c:v>5.92</c:v>
                </c:pt>
                <c:pt idx="20">
                  <c:v>5.73</c:v>
                </c:pt>
                <c:pt idx="21">
                  <c:v>5.6</c:v>
                </c:pt>
                <c:pt idx="22">
                  <c:v>5.59</c:v>
                </c:pt>
                <c:pt idx="24">
                  <c:v>5.2</c:v>
                </c:pt>
                <c:pt idx="26">
                  <c:v>5.26</c:v>
                </c:pt>
              </c:numCache>
            </c:numRef>
          </c:yVal>
          <c:smooth val="0"/>
        </c:ser>
        <c:ser>
          <c:idx val="1"/>
          <c:order val="1"/>
          <c:tx>
            <c:strRef>
              <c:f>'Feb''15'!$K$2</c:f>
              <c:strCache>
                <c:ptCount val="1"/>
                <c:pt idx="0">
                  <c:v>AD pH</c:v>
                </c:pt>
              </c:strCache>
            </c:strRef>
          </c:tx>
          <c:spPr>
            <a:ln w="25400">
              <a:noFill/>
            </a:ln>
          </c:spPr>
          <c:marker>
            <c:symbol val="triangle"/>
            <c:size val="15"/>
            <c:spPr>
              <a:solidFill>
                <a:srgbClr val="0000FF"/>
              </a:solidFill>
              <a:ln>
                <a:solidFill>
                  <a:srgbClr val="0000FF"/>
                </a:solidFill>
              </a:ln>
            </c:spPr>
          </c:marker>
          <c:xVal>
            <c:numRef>
              <c:f>'Feb''15'!$I$3:$I$30</c:f>
              <c:numCache>
                <c:formatCode>0</c:formatCode>
                <c:ptCount val="28"/>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numCache>
            </c:numRef>
          </c:xVal>
          <c:yVal>
            <c:numRef>
              <c:f>'Feb''15'!$K$3:$K$30</c:f>
              <c:numCache>
                <c:formatCode>0.00</c:formatCode>
                <c:ptCount val="28"/>
                <c:pt idx="1">
                  <c:v>7.56</c:v>
                </c:pt>
                <c:pt idx="2">
                  <c:v>7.64</c:v>
                </c:pt>
                <c:pt idx="3">
                  <c:v>7.73</c:v>
                </c:pt>
                <c:pt idx="4">
                  <c:v>7.71</c:v>
                </c:pt>
                <c:pt idx="5">
                  <c:v>7.58</c:v>
                </c:pt>
                <c:pt idx="6">
                  <c:v>7.66</c:v>
                </c:pt>
                <c:pt idx="7">
                  <c:v>7.63</c:v>
                </c:pt>
                <c:pt idx="8">
                  <c:v>7.69</c:v>
                </c:pt>
                <c:pt idx="9">
                  <c:v>7.73</c:v>
                </c:pt>
                <c:pt idx="10">
                  <c:v>7.66</c:v>
                </c:pt>
                <c:pt idx="11">
                  <c:v>7.57</c:v>
                </c:pt>
                <c:pt idx="12">
                  <c:v>7.55</c:v>
                </c:pt>
                <c:pt idx="13">
                  <c:v>7.56</c:v>
                </c:pt>
                <c:pt idx="14">
                  <c:v>7.71</c:v>
                </c:pt>
                <c:pt idx="16">
                  <c:v>7.78</c:v>
                </c:pt>
                <c:pt idx="17">
                  <c:v>7.54</c:v>
                </c:pt>
                <c:pt idx="18">
                  <c:v>7.58</c:v>
                </c:pt>
                <c:pt idx="20">
                  <c:v>7.54</c:v>
                </c:pt>
                <c:pt idx="21">
                  <c:v>7.53</c:v>
                </c:pt>
                <c:pt idx="22">
                  <c:v>7.54</c:v>
                </c:pt>
                <c:pt idx="24">
                  <c:v>7.57</c:v>
                </c:pt>
                <c:pt idx="26">
                  <c:v>7.59</c:v>
                </c:pt>
              </c:numCache>
            </c:numRef>
          </c:yVal>
          <c:smooth val="0"/>
        </c:ser>
        <c:dLbls>
          <c:showLegendKey val="0"/>
          <c:showVal val="0"/>
          <c:showCatName val="0"/>
          <c:showSerName val="0"/>
          <c:showPercent val="0"/>
          <c:showBubbleSize val="0"/>
        </c:dLbls>
        <c:axId val="2105770184"/>
        <c:axId val="2105764712"/>
      </c:scatterChart>
      <c:valAx>
        <c:axId val="2105770184"/>
        <c:scaling>
          <c:orientation val="minMax"/>
          <c:max val="30.0"/>
        </c:scaling>
        <c:delete val="0"/>
        <c:axPos val="b"/>
        <c:numFmt formatCode="0" sourceLinked="1"/>
        <c:majorTickMark val="out"/>
        <c:minorTickMark val="none"/>
        <c:tickLblPos val="nextTo"/>
        <c:txPr>
          <a:bodyPr/>
          <a:lstStyle/>
          <a:p>
            <a:pPr>
              <a:defRPr sz="1000" b="0" i="0"/>
            </a:pPr>
            <a:endParaRPr lang="en-US"/>
          </a:p>
        </c:txPr>
        <c:crossAx val="2105764712"/>
        <c:crosses val="autoZero"/>
        <c:crossBetween val="midCat"/>
      </c:valAx>
      <c:valAx>
        <c:axId val="2105764712"/>
        <c:scaling>
          <c:orientation val="minMax"/>
          <c:max val="8.0"/>
          <c:min val="4.0"/>
        </c:scaling>
        <c:delete val="0"/>
        <c:axPos val="l"/>
        <c:title>
          <c:tx>
            <c:rich>
              <a:bodyPr rot="-5400000" vert="horz"/>
              <a:lstStyle/>
              <a:p>
                <a:pPr>
                  <a:defRPr sz="1200"/>
                </a:pPr>
                <a:r>
                  <a:rPr lang="en-US" sz="1200"/>
                  <a:t>pH</a:t>
                </a:r>
              </a:p>
            </c:rich>
          </c:tx>
          <c:overlay val="0"/>
        </c:title>
        <c:numFmt formatCode="0.00" sourceLinked="1"/>
        <c:majorTickMark val="out"/>
        <c:minorTickMark val="none"/>
        <c:tickLblPos val="nextTo"/>
        <c:txPr>
          <a:bodyPr/>
          <a:lstStyle/>
          <a:p>
            <a:pPr>
              <a:defRPr sz="1200" b="1" i="0"/>
            </a:pPr>
            <a:endParaRPr lang="en-US"/>
          </a:p>
        </c:txPr>
        <c:crossAx val="2105770184"/>
        <c:crosses val="autoZero"/>
        <c:crossBetween val="midCat"/>
      </c:valAx>
      <c:spPr>
        <a:noFill/>
        <a:ln>
          <a:noFill/>
        </a:ln>
      </c:spPr>
    </c:plotArea>
    <c:legend>
      <c:legendPos val="r"/>
      <c:layout>
        <c:manualLayout>
          <c:xMode val="edge"/>
          <c:yMode val="edge"/>
          <c:x val="0.203250934425567"/>
          <c:y val="0.623709864572785"/>
          <c:w val="0.112963298883311"/>
          <c:h val="0.155681784194197"/>
        </c:manualLayout>
      </c:layout>
      <c:overlay val="0"/>
    </c:legend>
    <c:plotVisOnly val="1"/>
    <c:dispBlanksAs val="gap"/>
    <c:showDLblsOverMax val="0"/>
  </c:chart>
  <c:spPr>
    <a:noFill/>
    <a:ln>
      <a:noFill/>
    </a:ln>
  </c:spPr>
  <c:printSettings>
    <c:headerFooter/>
    <c:pageMargins b="1.0" l="0.75" r="0.75" t="1.0"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strRef>
              <c:f>'Mar''15'!$C$2</c:f>
              <c:strCache>
                <c:ptCount val="1"/>
                <c:pt idx="0">
                  <c:v>biogas consumed (m3/day)</c:v>
                </c:pt>
              </c:strCache>
            </c:strRef>
          </c:tx>
          <c:spPr>
            <a:ln w="47625">
              <a:noFill/>
            </a:ln>
          </c:spPr>
          <c:invertIfNegative val="0"/>
          <c:cat>
            <c:numRef>
              <c:f>'Mar''15'!$B$3:$B$33</c:f>
              <c:numCache>
                <c:formatCode>0</c:formatCode>
                <c:ptCount val="31"/>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numCache>
            </c:numRef>
          </c:cat>
          <c:val>
            <c:numRef>
              <c:f>'Mar''15'!$C$3:$C$33</c:f>
              <c:numCache>
                <c:formatCode>#,##0</c:formatCode>
                <c:ptCount val="31"/>
                <c:pt idx="0">
                  <c:v>1302.951724136885</c:v>
                </c:pt>
                <c:pt idx="1">
                  <c:v>1206.246575340542</c:v>
                </c:pt>
                <c:pt idx="2">
                  <c:v>1415.111111111111</c:v>
                </c:pt>
                <c:pt idx="3">
                  <c:v>2120.51612903624</c:v>
                </c:pt>
                <c:pt idx="4">
                  <c:v>2114.621848735358</c:v>
                </c:pt>
                <c:pt idx="5">
                  <c:v>2122.158374212325</c:v>
                </c:pt>
                <c:pt idx="6">
                  <c:v>1887.47882736729</c:v>
                </c:pt>
                <c:pt idx="7">
                  <c:v>1972.104089212503</c:v>
                </c:pt>
                <c:pt idx="8">
                  <c:v>2269.09090909091</c:v>
                </c:pt>
                <c:pt idx="9">
                  <c:v>2100.395604400978</c:v>
                </c:pt>
                <c:pt idx="10">
                  <c:v>1859.789768746227</c:v>
                </c:pt>
                <c:pt idx="11">
                  <c:v>1910.847457619578</c:v>
                </c:pt>
                <c:pt idx="12">
                  <c:v>894.6303501961734</c:v>
                </c:pt>
                <c:pt idx="13">
                  <c:v>2394.596026493758</c:v>
                </c:pt>
                <c:pt idx="14">
                  <c:v>2514.420664195841</c:v>
                </c:pt>
                <c:pt idx="15">
                  <c:v>2876.027586204587</c:v>
                </c:pt>
                <c:pt idx="16">
                  <c:v>3196.294736857772</c:v>
                </c:pt>
                <c:pt idx="17">
                  <c:v>2211.0</c:v>
                </c:pt>
                <c:pt idx="18">
                  <c:v>1826.042553182443</c:v>
                </c:pt>
                <c:pt idx="19">
                  <c:v>2317.633136107446</c:v>
                </c:pt>
                <c:pt idx="20">
                  <c:v>2169.640591958698</c:v>
                </c:pt>
                <c:pt idx="21">
                  <c:v>1981.812949633649</c:v>
                </c:pt>
                <c:pt idx="22">
                  <c:v>1807.448275873678</c:v>
                </c:pt>
                <c:pt idx="23">
                  <c:v>2212.682926822088</c:v>
                </c:pt>
                <c:pt idx="24">
                  <c:v>2322.36241611464</c:v>
                </c:pt>
                <c:pt idx="25">
                  <c:v>2133.525594800702</c:v>
                </c:pt>
                <c:pt idx="26">
                  <c:v>2434.452961682348</c:v>
                </c:pt>
                <c:pt idx="27">
                  <c:v>2814.364640874022</c:v>
                </c:pt>
                <c:pt idx="28">
                  <c:v>2614.762886604214</c:v>
                </c:pt>
                <c:pt idx="29">
                  <c:v>2212.565304747935</c:v>
                </c:pt>
                <c:pt idx="30">
                  <c:v>2095.506607933814</c:v>
                </c:pt>
              </c:numCache>
            </c:numRef>
          </c:val>
        </c:ser>
        <c:dLbls>
          <c:showLegendKey val="0"/>
          <c:showVal val="0"/>
          <c:showCatName val="0"/>
          <c:showSerName val="0"/>
          <c:showPercent val="0"/>
          <c:showBubbleSize val="0"/>
        </c:dLbls>
        <c:gapWidth val="10"/>
        <c:axId val="2105739272"/>
        <c:axId val="2105736280"/>
      </c:barChart>
      <c:scatterChart>
        <c:scatterStyle val="lineMarker"/>
        <c:varyColors val="0"/>
        <c:ser>
          <c:idx val="1"/>
          <c:order val="1"/>
          <c:tx>
            <c:strRef>
              <c:f>'Mar''15'!$D$2</c:f>
              <c:strCache>
                <c:ptCount val="1"/>
                <c:pt idx="0">
                  <c:v>CH4 (%)</c:v>
                </c:pt>
              </c:strCache>
            </c:strRef>
          </c:tx>
          <c:spPr>
            <a:ln w="47625">
              <a:noFill/>
            </a:ln>
          </c:spPr>
          <c:marker>
            <c:symbol val="square"/>
            <c:size val="9"/>
            <c:spPr>
              <a:solidFill>
                <a:schemeClr val="bg1"/>
              </a:solidFill>
              <a:ln w="19050" cmpd="sng">
                <a:solidFill>
                  <a:srgbClr val="0000FF"/>
                </a:solidFill>
              </a:ln>
            </c:spPr>
          </c:marker>
          <c:xVal>
            <c:numRef>
              <c:f>'Mar''15'!$B$3:$B$33</c:f>
              <c:numCache>
                <c:formatCode>0</c:formatCode>
                <c:ptCount val="31"/>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numCache>
            </c:numRef>
          </c:xVal>
          <c:yVal>
            <c:numRef>
              <c:f>'Mar''15'!$D$3:$D$33</c:f>
              <c:numCache>
                <c:formatCode>0.0</c:formatCode>
                <c:ptCount val="31"/>
                <c:pt idx="0">
                  <c:v>55.1</c:v>
                </c:pt>
                <c:pt idx="1">
                  <c:v>55.6</c:v>
                </c:pt>
                <c:pt idx="2">
                  <c:v>55.4</c:v>
                </c:pt>
                <c:pt idx="3">
                  <c:v>53.7</c:v>
                </c:pt>
                <c:pt idx="4">
                  <c:v>52.5</c:v>
                </c:pt>
                <c:pt idx="5">
                  <c:v>51.7</c:v>
                </c:pt>
                <c:pt idx="6">
                  <c:v>54.5</c:v>
                </c:pt>
                <c:pt idx="7">
                  <c:v>54.8</c:v>
                </c:pt>
                <c:pt idx="8">
                  <c:v>54.8</c:v>
                </c:pt>
                <c:pt idx="9">
                  <c:v>54.7</c:v>
                </c:pt>
                <c:pt idx="10">
                  <c:v>50.6</c:v>
                </c:pt>
                <c:pt idx="11">
                  <c:v>53.7</c:v>
                </c:pt>
                <c:pt idx="12">
                  <c:v>54.0</c:v>
                </c:pt>
                <c:pt idx="13">
                  <c:v>52.8</c:v>
                </c:pt>
                <c:pt idx="14">
                  <c:v>54.3</c:v>
                </c:pt>
                <c:pt idx="15">
                  <c:v>54.6</c:v>
                </c:pt>
                <c:pt idx="16">
                  <c:v>48.6</c:v>
                </c:pt>
                <c:pt idx="17">
                  <c:v>56.1</c:v>
                </c:pt>
                <c:pt idx="18">
                  <c:v>57.8</c:v>
                </c:pt>
                <c:pt idx="19">
                  <c:v>58.0</c:v>
                </c:pt>
                <c:pt idx="20">
                  <c:v>58.4</c:v>
                </c:pt>
                <c:pt idx="21">
                  <c:v>58.0</c:v>
                </c:pt>
                <c:pt idx="22">
                  <c:v>57.5</c:v>
                </c:pt>
                <c:pt idx="23">
                  <c:v>57.4</c:v>
                </c:pt>
                <c:pt idx="24">
                  <c:v>56.9</c:v>
                </c:pt>
                <c:pt idx="25">
                  <c:v>58.7</c:v>
                </c:pt>
                <c:pt idx="26">
                  <c:v>57.0</c:v>
                </c:pt>
                <c:pt idx="27">
                  <c:v>55.3</c:v>
                </c:pt>
                <c:pt idx="28">
                  <c:v>55.8</c:v>
                </c:pt>
                <c:pt idx="29">
                  <c:v>56.1</c:v>
                </c:pt>
                <c:pt idx="30">
                  <c:v>58.1</c:v>
                </c:pt>
              </c:numCache>
            </c:numRef>
          </c:yVal>
          <c:smooth val="0"/>
        </c:ser>
        <c:ser>
          <c:idx val="2"/>
          <c:order val="2"/>
          <c:tx>
            <c:strRef>
              <c:f>'Mar''15'!$E$2</c:f>
              <c:strCache>
                <c:ptCount val="1"/>
                <c:pt idx="0">
                  <c:v>H2S (ppm)</c:v>
                </c:pt>
              </c:strCache>
            </c:strRef>
          </c:tx>
          <c:spPr>
            <a:ln w="47625">
              <a:noFill/>
            </a:ln>
          </c:spPr>
          <c:marker>
            <c:symbol val="plus"/>
            <c:size val="9"/>
            <c:spPr>
              <a:ln>
                <a:solidFill>
                  <a:schemeClr val="tx1"/>
                </a:solidFill>
              </a:ln>
            </c:spPr>
          </c:marker>
          <c:dPt>
            <c:idx val="1"/>
            <c:marker>
              <c:spPr>
                <a:ln w="19050" cmpd="sng">
                  <a:solidFill>
                    <a:schemeClr val="tx1"/>
                  </a:solidFill>
                </a:ln>
              </c:spPr>
            </c:marker>
            <c:bubble3D val="0"/>
          </c:dPt>
          <c:xVal>
            <c:numRef>
              <c:f>'Mar''15'!$B$3:$B$33</c:f>
              <c:numCache>
                <c:formatCode>0</c:formatCode>
                <c:ptCount val="31"/>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numCache>
            </c:numRef>
          </c:xVal>
          <c:yVal>
            <c:numRef>
              <c:f>'Mar''15'!$E$3:$E$33</c:f>
              <c:numCache>
                <c:formatCode>0</c:formatCode>
                <c:ptCount val="31"/>
                <c:pt idx="0">
                  <c:v>155.0</c:v>
                </c:pt>
                <c:pt idx="1">
                  <c:v>180.0</c:v>
                </c:pt>
                <c:pt idx="2">
                  <c:v>380.0</c:v>
                </c:pt>
                <c:pt idx="3">
                  <c:v>265.0</c:v>
                </c:pt>
                <c:pt idx="4">
                  <c:v>300.0</c:v>
                </c:pt>
                <c:pt idx="5">
                  <c:v>65.0</c:v>
                </c:pt>
                <c:pt idx="6">
                  <c:v>10.0</c:v>
                </c:pt>
                <c:pt idx="7">
                  <c:v>25.0</c:v>
                </c:pt>
                <c:pt idx="8">
                  <c:v>45.0</c:v>
                </c:pt>
                <c:pt idx="9">
                  <c:v>290.0</c:v>
                </c:pt>
                <c:pt idx="10">
                  <c:v>890.0</c:v>
                </c:pt>
                <c:pt idx="11">
                  <c:v>415.0</c:v>
                </c:pt>
                <c:pt idx="12">
                  <c:v>275.0</c:v>
                </c:pt>
                <c:pt idx="13">
                  <c:v>265.0</c:v>
                </c:pt>
                <c:pt idx="14">
                  <c:v>180.0</c:v>
                </c:pt>
                <c:pt idx="15">
                  <c:v>515.0</c:v>
                </c:pt>
                <c:pt idx="16">
                  <c:v>1555.0</c:v>
                </c:pt>
                <c:pt idx="17">
                  <c:v>270.0</c:v>
                </c:pt>
                <c:pt idx="18">
                  <c:v>180.0</c:v>
                </c:pt>
                <c:pt idx="19">
                  <c:v>85.0</c:v>
                </c:pt>
                <c:pt idx="20">
                  <c:v>205.0</c:v>
                </c:pt>
                <c:pt idx="21">
                  <c:v>265.0</c:v>
                </c:pt>
                <c:pt idx="22">
                  <c:v>260.0</c:v>
                </c:pt>
                <c:pt idx="23">
                  <c:v>275.0</c:v>
                </c:pt>
                <c:pt idx="24">
                  <c:v>130.0</c:v>
                </c:pt>
                <c:pt idx="25">
                  <c:v>83.0</c:v>
                </c:pt>
                <c:pt idx="26">
                  <c:v>385.0</c:v>
                </c:pt>
                <c:pt idx="27">
                  <c:v>110.0</c:v>
                </c:pt>
                <c:pt idx="28">
                  <c:v>120.0</c:v>
                </c:pt>
                <c:pt idx="29">
                  <c:v>195.0</c:v>
                </c:pt>
                <c:pt idx="30">
                  <c:v>165.0</c:v>
                </c:pt>
              </c:numCache>
            </c:numRef>
          </c:yVal>
          <c:smooth val="0"/>
        </c:ser>
        <c:dLbls>
          <c:showLegendKey val="0"/>
          <c:showVal val="0"/>
          <c:showCatName val="0"/>
          <c:showSerName val="0"/>
          <c:showPercent val="0"/>
          <c:showBubbleSize val="0"/>
        </c:dLbls>
        <c:axId val="2105724552"/>
        <c:axId val="2105730248"/>
      </c:scatterChart>
      <c:catAx>
        <c:axId val="2105739272"/>
        <c:scaling>
          <c:orientation val="minMax"/>
        </c:scaling>
        <c:delete val="0"/>
        <c:axPos val="b"/>
        <c:numFmt formatCode="0" sourceLinked="1"/>
        <c:majorTickMark val="out"/>
        <c:minorTickMark val="none"/>
        <c:tickLblPos val="nextTo"/>
        <c:crossAx val="2105736280"/>
        <c:crosses val="autoZero"/>
        <c:auto val="1"/>
        <c:lblAlgn val="ctr"/>
        <c:lblOffset val="100"/>
        <c:noMultiLvlLbl val="1"/>
      </c:catAx>
      <c:valAx>
        <c:axId val="2105736280"/>
        <c:scaling>
          <c:orientation val="minMax"/>
          <c:max val="3000.0"/>
        </c:scaling>
        <c:delete val="0"/>
        <c:axPos val="l"/>
        <c:title>
          <c:tx>
            <c:rich>
              <a:bodyPr rot="-5400000" vert="horz"/>
              <a:lstStyle/>
              <a:p>
                <a:pPr>
                  <a:defRPr sz="1200"/>
                </a:pPr>
                <a:r>
                  <a:rPr lang="en-US" sz="1200"/>
                  <a:t>biogas volume</a:t>
                </a:r>
                <a:r>
                  <a:rPr lang="en-US" sz="1200" baseline="0"/>
                  <a:t> (m3/day)</a:t>
                </a:r>
                <a:endParaRPr lang="en-US" sz="1200"/>
              </a:p>
            </c:rich>
          </c:tx>
          <c:layout/>
          <c:overlay val="0"/>
        </c:title>
        <c:numFmt formatCode="#,##0" sourceLinked="1"/>
        <c:majorTickMark val="out"/>
        <c:minorTickMark val="none"/>
        <c:tickLblPos val="nextTo"/>
        <c:txPr>
          <a:bodyPr/>
          <a:lstStyle/>
          <a:p>
            <a:pPr>
              <a:defRPr sz="1200"/>
            </a:pPr>
            <a:endParaRPr lang="en-US"/>
          </a:p>
        </c:txPr>
        <c:crossAx val="2105739272"/>
        <c:crosses val="autoZero"/>
        <c:crossBetween val="between"/>
      </c:valAx>
      <c:valAx>
        <c:axId val="2105730248"/>
        <c:scaling>
          <c:orientation val="minMax"/>
          <c:max val="600.0"/>
        </c:scaling>
        <c:delete val="0"/>
        <c:axPos val="r"/>
        <c:title>
          <c:tx>
            <c:rich>
              <a:bodyPr rot="-5400000" vert="horz"/>
              <a:lstStyle/>
              <a:p>
                <a:pPr>
                  <a:defRPr sz="1200"/>
                </a:pPr>
                <a:r>
                  <a:rPr lang="en-US" sz="1200"/>
                  <a:t>methane (%), H2S</a:t>
                </a:r>
                <a:r>
                  <a:rPr lang="en-US" sz="1200" baseline="0"/>
                  <a:t> (ppm</a:t>
                </a:r>
                <a:endParaRPr lang="en-US" sz="1200"/>
              </a:p>
            </c:rich>
          </c:tx>
          <c:layout/>
          <c:overlay val="0"/>
        </c:title>
        <c:numFmt formatCode="0.0" sourceLinked="1"/>
        <c:majorTickMark val="out"/>
        <c:minorTickMark val="none"/>
        <c:tickLblPos val="nextTo"/>
        <c:txPr>
          <a:bodyPr/>
          <a:lstStyle/>
          <a:p>
            <a:pPr>
              <a:defRPr sz="1200"/>
            </a:pPr>
            <a:endParaRPr lang="en-US"/>
          </a:p>
        </c:txPr>
        <c:crossAx val="2105724552"/>
        <c:crosses val="max"/>
        <c:crossBetween val="midCat"/>
      </c:valAx>
      <c:valAx>
        <c:axId val="2105724552"/>
        <c:scaling>
          <c:orientation val="minMax"/>
        </c:scaling>
        <c:delete val="1"/>
        <c:axPos val="b"/>
        <c:numFmt formatCode="0" sourceLinked="1"/>
        <c:majorTickMark val="out"/>
        <c:minorTickMark val="none"/>
        <c:tickLblPos val="nextTo"/>
        <c:crossAx val="2105730248"/>
        <c:crosses val="autoZero"/>
        <c:crossBetween val="midCat"/>
      </c:valAx>
      <c:spPr>
        <a:noFill/>
        <a:ln>
          <a:noFill/>
        </a:ln>
      </c:spPr>
    </c:plotArea>
    <c:legend>
      <c:legendPos val="r"/>
      <c:layout>
        <c:manualLayout>
          <c:xMode val="edge"/>
          <c:yMode val="edge"/>
          <c:x val="0.107270180184532"/>
          <c:y val="0.118750977222697"/>
          <c:w val="0.208409062364137"/>
          <c:h val="0.160703780319213"/>
        </c:manualLayout>
      </c:layout>
      <c:overlay val="0"/>
      <c:txPr>
        <a:bodyPr/>
        <a:lstStyle/>
        <a:p>
          <a:pPr>
            <a:defRPr sz="1200"/>
          </a:pPr>
          <a:endParaRPr lang="en-US"/>
        </a:p>
      </c:txPr>
    </c:legend>
    <c:plotVisOnly val="1"/>
    <c:dispBlanksAs val="gap"/>
    <c:showDLblsOverMax val="0"/>
  </c:chart>
  <c:spPr>
    <a:noFill/>
    <a:ln>
      <a:noFill/>
    </a:ln>
  </c:spPr>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1" Type="http://schemas.openxmlformats.org/officeDocument/2006/relationships/chart" Target="../charts/chart1.xml"/><Relationship Id="rId2" Type="http://schemas.openxmlformats.org/officeDocument/2006/relationships/chart" Target="../charts/chart2.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9.xml"/><Relationship Id="rId4" Type="http://schemas.openxmlformats.org/officeDocument/2006/relationships/chart" Target="../charts/chart20.xml"/><Relationship Id="rId1" Type="http://schemas.openxmlformats.org/officeDocument/2006/relationships/chart" Target="../charts/chart17.xml"/><Relationship Id="rId2" Type="http://schemas.openxmlformats.org/officeDocument/2006/relationships/chart" Target="../charts/chart18.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23.xml"/><Relationship Id="rId4" Type="http://schemas.openxmlformats.org/officeDocument/2006/relationships/chart" Target="../charts/chart24.xml"/><Relationship Id="rId5" Type="http://schemas.openxmlformats.org/officeDocument/2006/relationships/chart" Target="../charts/chart25.xml"/><Relationship Id="rId1" Type="http://schemas.openxmlformats.org/officeDocument/2006/relationships/chart" Target="../charts/chart21.xml"/><Relationship Id="rId2" Type="http://schemas.openxmlformats.org/officeDocument/2006/relationships/chart" Target="../charts/chart22.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28.xml"/><Relationship Id="rId4" Type="http://schemas.openxmlformats.org/officeDocument/2006/relationships/chart" Target="../charts/chart29.xml"/><Relationship Id="rId1" Type="http://schemas.openxmlformats.org/officeDocument/2006/relationships/chart" Target="../charts/chart26.xml"/><Relationship Id="rId2" Type="http://schemas.openxmlformats.org/officeDocument/2006/relationships/chart" Target="../charts/chart27.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32.xml"/><Relationship Id="rId4" Type="http://schemas.openxmlformats.org/officeDocument/2006/relationships/chart" Target="../charts/chart33.xml"/><Relationship Id="rId5" Type="http://schemas.openxmlformats.org/officeDocument/2006/relationships/chart" Target="../charts/chart34.xml"/><Relationship Id="rId1" Type="http://schemas.openxmlformats.org/officeDocument/2006/relationships/chart" Target="../charts/chart30.xml"/><Relationship Id="rId2" Type="http://schemas.openxmlformats.org/officeDocument/2006/relationships/chart" Target="../charts/chart31.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37.xml"/><Relationship Id="rId4" Type="http://schemas.openxmlformats.org/officeDocument/2006/relationships/chart" Target="../charts/chart38.xml"/><Relationship Id="rId5" Type="http://schemas.openxmlformats.org/officeDocument/2006/relationships/chart" Target="../charts/chart39.xml"/><Relationship Id="rId1" Type="http://schemas.openxmlformats.org/officeDocument/2006/relationships/chart" Target="../charts/chart35.xml"/><Relationship Id="rId2" Type="http://schemas.openxmlformats.org/officeDocument/2006/relationships/chart" Target="../charts/chart36.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42.xml"/><Relationship Id="rId4" Type="http://schemas.openxmlformats.org/officeDocument/2006/relationships/chart" Target="../charts/chart43.xml"/><Relationship Id="rId5" Type="http://schemas.openxmlformats.org/officeDocument/2006/relationships/chart" Target="../charts/chart44.xml"/><Relationship Id="rId1" Type="http://schemas.openxmlformats.org/officeDocument/2006/relationships/chart" Target="../charts/chart40.xml"/><Relationship Id="rId2" Type="http://schemas.openxmlformats.org/officeDocument/2006/relationships/chart" Target="../charts/chart41.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47.xml"/><Relationship Id="rId4" Type="http://schemas.openxmlformats.org/officeDocument/2006/relationships/chart" Target="../charts/chart48.xml"/><Relationship Id="rId5" Type="http://schemas.openxmlformats.org/officeDocument/2006/relationships/chart" Target="../charts/chart49.xml"/><Relationship Id="rId1" Type="http://schemas.openxmlformats.org/officeDocument/2006/relationships/chart" Target="../charts/chart45.xml"/><Relationship Id="rId2" Type="http://schemas.openxmlformats.org/officeDocument/2006/relationships/chart" Target="../charts/chart46.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52.xml"/><Relationship Id="rId4" Type="http://schemas.openxmlformats.org/officeDocument/2006/relationships/chart" Target="../charts/chart53.xml"/><Relationship Id="rId5" Type="http://schemas.openxmlformats.org/officeDocument/2006/relationships/chart" Target="../charts/chart54.xml"/><Relationship Id="rId6" Type="http://schemas.openxmlformats.org/officeDocument/2006/relationships/chart" Target="../charts/chart55.xml"/><Relationship Id="rId7" Type="http://schemas.openxmlformats.org/officeDocument/2006/relationships/chart" Target="../charts/chart56.xml"/><Relationship Id="rId8" Type="http://schemas.openxmlformats.org/officeDocument/2006/relationships/chart" Target="../charts/chart57.xml"/><Relationship Id="rId1" Type="http://schemas.openxmlformats.org/officeDocument/2006/relationships/chart" Target="../charts/chart50.xml"/><Relationship Id="rId2" Type="http://schemas.openxmlformats.org/officeDocument/2006/relationships/chart" Target="../charts/chart51.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60.xml"/><Relationship Id="rId4" Type="http://schemas.openxmlformats.org/officeDocument/2006/relationships/chart" Target="../charts/chart61.xml"/><Relationship Id="rId5" Type="http://schemas.openxmlformats.org/officeDocument/2006/relationships/chart" Target="../charts/chart62.xml"/><Relationship Id="rId1" Type="http://schemas.openxmlformats.org/officeDocument/2006/relationships/chart" Target="../charts/chart58.xml"/><Relationship Id="rId2" Type="http://schemas.openxmlformats.org/officeDocument/2006/relationships/chart" Target="../charts/chart59.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4" Type="http://schemas.openxmlformats.org/officeDocument/2006/relationships/chart" Target="../charts/chart8.xml"/><Relationship Id="rId1" Type="http://schemas.openxmlformats.org/officeDocument/2006/relationships/chart" Target="../charts/chart5.xml"/><Relationship Id="rId2" Type="http://schemas.openxmlformats.org/officeDocument/2006/relationships/chart" Target="../charts/chart6.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1.xml"/><Relationship Id="rId4" Type="http://schemas.openxmlformats.org/officeDocument/2006/relationships/chart" Target="../charts/chart12.xml"/><Relationship Id="rId1" Type="http://schemas.openxmlformats.org/officeDocument/2006/relationships/chart" Target="../charts/chart9.xml"/><Relationship Id="rId2"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5.xml"/><Relationship Id="rId4" Type="http://schemas.openxmlformats.org/officeDocument/2006/relationships/chart" Target="../charts/chart16.xml"/><Relationship Id="rId1" Type="http://schemas.openxmlformats.org/officeDocument/2006/relationships/chart" Target="../charts/chart13.xml"/><Relationship Id="rId2"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254000</xdr:colOff>
      <xdr:row>36</xdr:row>
      <xdr:rowOff>101606</xdr:rowOff>
    </xdr:from>
    <xdr:to>
      <xdr:col>15</xdr:col>
      <xdr:colOff>546100</xdr:colOff>
      <xdr:row>64</xdr:row>
      <xdr:rowOff>101600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406400</xdr:colOff>
      <xdr:row>65</xdr:row>
      <xdr:rowOff>88900</xdr:rowOff>
    </xdr:from>
    <xdr:to>
      <xdr:col>15</xdr:col>
      <xdr:colOff>215900</xdr:colOff>
      <xdr:row>92</xdr:row>
      <xdr:rowOff>127006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387350</xdr:colOff>
      <xdr:row>92</xdr:row>
      <xdr:rowOff>177806</xdr:rowOff>
    </xdr:from>
    <xdr:to>
      <xdr:col>15</xdr:col>
      <xdr:colOff>114300</xdr:colOff>
      <xdr:row>116</xdr:row>
      <xdr:rowOff>127000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412750</xdr:colOff>
      <xdr:row>117</xdr:row>
      <xdr:rowOff>12706</xdr:rowOff>
    </xdr:from>
    <xdr:to>
      <xdr:col>13</xdr:col>
      <xdr:colOff>685800</xdr:colOff>
      <xdr:row>134</xdr:row>
      <xdr:rowOff>50800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0.0977</cdr:x>
      <cdr:y>0.13202</cdr:y>
    </cdr:from>
    <cdr:to>
      <cdr:x>0.80048</cdr:x>
      <cdr:y>0.13624</cdr:y>
    </cdr:to>
    <cdr:cxnSp macro="">
      <cdr:nvCxnSpPr>
        <cdr:cNvPr id="3" name="Straight Connector 2"/>
        <cdr:cNvCxnSpPr/>
      </cdr:nvCxnSpPr>
      <cdr:spPr>
        <a:xfrm xmlns:a="http://schemas.openxmlformats.org/drawingml/2006/main">
          <a:off x="889000" y="596900"/>
          <a:ext cx="6395015" cy="19050"/>
        </a:xfrm>
        <a:prstGeom xmlns:a="http://schemas.openxmlformats.org/drawingml/2006/main" prst="line">
          <a:avLst/>
        </a:prstGeom>
        <a:ln xmlns:a="http://schemas.openxmlformats.org/drawingml/2006/main">
          <a:solidFill>
            <a:schemeClr val="tx1">
              <a:lumMod val="50000"/>
              <a:lumOff val="50000"/>
            </a:schemeClr>
          </a:solidFill>
          <a:prstDash val="dot"/>
        </a:l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0.09351</cdr:x>
      <cdr:y>0.5309</cdr:y>
    </cdr:from>
    <cdr:to>
      <cdr:x>0.79629</cdr:x>
      <cdr:y>0.53512</cdr:y>
    </cdr:to>
    <cdr:cxnSp macro="">
      <cdr:nvCxnSpPr>
        <cdr:cNvPr id="4" name="Straight Connector 3"/>
        <cdr:cNvCxnSpPr/>
      </cdr:nvCxnSpPr>
      <cdr:spPr>
        <a:xfrm xmlns:a="http://schemas.openxmlformats.org/drawingml/2006/main">
          <a:off x="850926" y="2400288"/>
          <a:ext cx="6394982" cy="19079"/>
        </a:xfrm>
        <a:prstGeom xmlns:a="http://schemas.openxmlformats.org/drawingml/2006/main" prst="line">
          <a:avLst/>
        </a:prstGeom>
        <a:ln xmlns:a="http://schemas.openxmlformats.org/drawingml/2006/main">
          <a:solidFill>
            <a:schemeClr val="tx1">
              <a:lumMod val="50000"/>
              <a:lumOff val="50000"/>
            </a:schemeClr>
          </a:solidFill>
          <a:prstDash val="dot"/>
        </a:l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userShapes>
</file>

<file path=xl/drawings/drawing11.xml><?xml version="1.0" encoding="utf-8"?>
<c:userShapes xmlns:c="http://schemas.openxmlformats.org/drawingml/2006/chart">
  <cdr:relSizeAnchor xmlns:cdr="http://schemas.openxmlformats.org/drawingml/2006/chartDrawing">
    <cdr:from>
      <cdr:x>0.09848</cdr:x>
      <cdr:y>0.05426</cdr:y>
    </cdr:from>
    <cdr:to>
      <cdr:x>0.89935</cdr:x>
      <cdr:y>0.30233</cdr:y>
    </cdr:to>
    <cdr:sp macro="" textlink="">
      <cdr:nvSpPr>
        <cdr:cNvPr id="2" name="Rectangle 1"/>
        <cdr:cNvSpPr/>
      </cdr:nvSpPr>
      <cdr:spPr>
        <a:xfrm xmlns:a="http://schemas.openxmlformats.org/drawingml/2006/main">
          <a:off x="863600" y="177800"/>
          <a:ext cx="7023100" cy="812800"/>
        </a:xfrm>
        <a:prstGeom xmlns:a="http://schemas.openxmlformats.org/drawingml/2006/main" prst="rect">
          <a:avLst/>
        </a:prstGeom>
        <a:noFill xmlns:a="http://schemas.openxmlformats.org/drawingml/2006/main"/>
        <a:ln xmlns:a="http://schemas.openxmlformats.org/drawingml/2006/main">
          <a:solidFill>
            <a:schemeClr val="tx1">
              <a:lumMod val="50000"/>
              <a:lumOff val="50000"/>
            </a:schemeClr>
          </a:solidFill>
          <a:prstDash val="sysDash"/>
        </a:l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US" sz="1100"/>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279400</xdr:colOff>
      <xdr:row>37</xdr:row>
      <xdr:rowOff>6</xdr:rowOff>
    </xdr:from>
    <xdr:to>
      <xdr:col>15</xdr:col>
      <xdr:colOff>114300</xdr:colOff>
      <xdr:row>65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406400</xdr:colOff>
      <xdr:row>65</xdr:row>
      <xdr:rowOff>88900</xdr:rowOff>
    </xdr:from>
    <xdr:to>
      <xdr:col>14</xdr:col>
      <xdr:colOff>215900</xdr:colOff>
      <xdr:row>92</xdr:row>
      <xdr:rowOff>127006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400050</xdr:colOff>
      <xdr:row>92</xdr:row>
      <xdr:rowOff>177806</xdr:rowOff>
    </xdr:from>
    <xdr:to>
      <xdr:col>12</xdr:col>
      <xdr:colOff>660400</xdr:colOff>
      <xdr:row>116</xdr:row>
      <xdr:rowOff>127000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304800</xdr:colOff>
      <xdr:row>96</xdr:row>
      <xdr:rowOff>25400</xdr:rowOff>
    </xdr:from>
    <xdr:to>
      <xdr:col>10</xdr:col>
      <xdr:colOff>89886</xdr:colOff>
      <xdr:row>96</xdr:row>
      <xdr:rowOff>44450</xdr:rowOff>
    </xdr:to>
    <xdr:cxnSp macro="">
      <xdr:nvCxnSpPr>
        <xdr:cNvPr id="6" name="Straight Connector 5"/>
        <xdr:cNvCxnSpPr/>
      </xdr:nvCxnSpPr>
      <xdr:spPr>
        <a:xfrm>
          <a:off x="1193800" y="18516600"/>
          <a:ext cx="6173186" cy="19050"/>
        </a:xfrm>
        <a:prstGeom prst="line">
          <a:avLst/>
        </a:prstGeom>
        <a:ln>
          <a:solidFill>
            <a:schemeClr val="tx1">
              <a:lumMod val="50000"/>
              <a:lumOff val="50000"/>
            </a:schemeClr>
          </a:solidFill>
          <a:prstDash val="dot"/>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279400</xdr:colOff>
      <xdr:row>117</xdr:row>
      <xdr:rowOff>101600</xdr:rowOff>
    </xdr:from>
    <xdr:to>
      <xdr:col>12</xdr:col>
      <xdr:colOff>101600</xdr:colOff>
      <xdr:row>134</xdr:row>
      <xdr:rowOff>139694</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342900</xdr:colOff>
      <xdr:row>105</xdr:row>
      <xdr:rowOff>101600</xdr:rowOff>
    </xdr:from>
    <xdr:to>
      <xdr:col>10</xdr:col>
      <xdr:colOff>127986</xdr:colOff>
      <xdr:row>105</xdr:row>
      <xdr:rowOff>120650</xdr:rowOff>
    </xdr:to>
    <xdr:cxnSp macro="">
      <xdr:nvCxnSpPr>
        <xdr:cNvPr id="10" name="Straight Connector 9"/>
        <xdr:cNvCxnSpPr/>
      </xdr:nvCxnSpPr>
      <xdr:spPr>
        <a:xfrm>
          <a:off x="1231900" y="20307300"/>
          <a:ext cx="6173186" cy="19050"/>
        </a:xfrm>
        <a:prstGeom prst="line">
          <a:avLst/>
        </a:prstGeom>
        <a:ln>
          <a:solidFill>
            <a:schemeClr val="tx1">
              <a:lumMod val="50000"/>
              <a:lumOff val="50000"/>
            </a:schemeClr>
          </a:solidFill>
          <a:prstDash val="dot"/>
        </a:ln>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13.xml><?xml version="1.0" encoding="utf-8"?>
<c:userShapes xmlns:c="http://schemas.openxmlformats.org/drawingml/2006/chart">
  <cdr:relSizeAnchor xmlns:cdr="http://schemas.openxmlformats.org/drawingml/2006/chartDrawing">
    <cdr:from>
      <cdr:x>0.10736</cdr:x>
      <cdr:y>0.05039</cdr:y>
    </cdr:from>
    <cdr:to>
      <cdr:x>0.84049</cdr:x>
      <cdr:y>0.29457</cdr:y>
    </cdr:to>
    <cdr:sp macro="" textlink="">
      <cdr:nvSpPr>
        <cdr:cNvPr id="2" name="Rectangle 1"/>
        <cdr:cNvSpPr/>
      </cdr:nvSpPr>
      <cdr:spPr>
        <a:xfrm xmlns:a="http://schemas.openxmlformats.org/drawingml/2006/main">
          <a:off x="888985" y="165108"/>
          <a:ext cx="6070616" cy="800078"/>
        </a:xfrm>
        <a:prstGeom xmlns:a="http://schemas.openxmlformats.org/drawingml/2006/main" prst="rect">
          <a:avLst/>
        </a:prstGeom>
        <a:noFill xmlns:a="http://schemas.openxmlformats.org/drawingml/2006/main"/>
        <a:ln xmlns:a="http://schemas.openxmlformats.org/drawingml/2006/main">
          <a:solidFill>
            <a:schemeClr val="tx1">
              <a:lumMod val="50000"/>
              <a:lumOff val="50000"/>
            </a:schemeClr>
          </a:solidFill>
          <a:prstDash val="sysDash"/>
        </a:l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0</xdr:colOff>
      <xdr:row>113</xdr:row>
      <xdr:rowOff>0</xdr:rowOff>
    </xdr:from>
    <xdr:to>
      <xdr:col>11</xdr:col>
      <xdr:colOff>393700</xdr:colOff>
      <xdr:row>131</xdr:row>
      <xdr:rowOff>165100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38100</xdr:colOff>
      <xdr:row>90</xdr:row>
      <xdr:rowOff>139700</xdr:rowOff>
    </xdr:from>
    <xdr:to>
      <xdr:col>8</xdr:col>
      <xdr:colOff>774700</xdr:colOff>
      <xdr:row>90</xdr:row>
      <xdr:rowOff>139700</xdr:rowOff>
    </xdr:to>
    <xdr:cxnSp macro="">
      <xdr:nvCxnSpPr>
        <xdr:cNvPr id="9" name="Straight Connector 8"/>
        <xdr:cNvCxnSpPr/>
      </xdr:nvCxnSpPr>
      <xdr:spPr>
        <a:xfrm>
          <a:off x="1346200" y="17729200"/>
          <a:ext cx="4775200" cy="0"/>
        </a:xfrm>
        <a:prstGeom prst="line">
          <a:avLst/>
        </a:prstGeom>
        <a:ln>
          <a:solidFill>
            <a:schemeClr val="tx1">
              <a:lumMod val="50000"/>
              <a:lumOff val="50000"/>
            </a:schemeClr>
          </a:solidFill>
          <a:prstDash val="dot"/>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0</xdr:colOff>
      <xdr:row>114</xdr:row>
      <xdr:rowOff>38100</xdr:rowOff>
    </xdr:from>
    <xdr:to>
      <xdr:col>9</xdr:col>
      <xdr:colOff>165100</xdr:colOff>
      <xdr:row>118</xdr:row>
      <xdr:rowOff>88900</xdr:rowOff>
    </xdr:to>
    <xdr:sp macro="" textlink="">
      <xdr:nvSpPr>
        <xdr:cNvPr id="10" name="Rectangle 9"/>
        <xdr:cNvSpPr/>
      </xdr:nvSpPr>
      <xdr:spPr>
        <a:xfrm>
          <a:off x="1308100" y="22199600"/>
          <a:ext cx="5016500" cy="812800"/>
        </a:xfrm>
        <a:prstGeom prst="rect">
          <a:avLst/>
        </a:prstGeom>
        <a:noFill/>
        <a:ln>
          <a:solidFill>
            <a:schemeClr val="tx1">
              <a:lumMod val="50000"/>
              <a:lumOff val="50000"/>
            </a:schemeClr>
          </a:solidFill>
          <a:prstDash val="sysDash"/>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38100</xdr:colOff>
      <xdr:row>100</xdr:row>
      <xdr:rowOff>88900</xdr:rowOff>
    </xdr:from>
    <xdr:to>
      <xdr:col>8</xdr:col>
      <xdr:colOff>800100</xdr:colOff>
      <xdr:row>100</xdr:row>
      <xdr:rowOff>88900</xdr:rowOff>
    </xdr:to>
    <xdr:cxnSp macro="">
      <xdr:nvCxnSpPr>
        <xdr:cNvPr id="11" name="Straight Connector 10"/>
        <xdr:cNvCxnSpPr/>
      </xdr:nvCxnSpPr>
      <xdr:spPr>
        <a:xfrm>
          <a:off x="1346200" y="19583400"/>
          <a:ext cx="4800600" cy="0"/>
        </a:xfrm>
        <a:prstGeom prst="line">
          <a:avLst/>
        </a:prstGeom>
        <a:ln>
          <a:solidFill>
            <a:schemeClr val="tx1">
              <a:lumMod val="50000"/>
              <a:lumOff val="50000"/>
            </a:schemeClr>
          </a:solidFill>
          <a:prstDash val="dot"/>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12</xdr:col>
      <xdr:colOff>469900</xdr:colOff>
      <xdr:row>37</xdr:row>
      <xdr:rowOff>101600</xdr:rowOff>
    </xdr:from>
    <xdr:to>
      <xdr:col>24</xdr:col>
      <xdr:colOff>76200</xdr:colOff>
      <xdr:row>63</xdr:row>
      <xdr:rowOff>88900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36</xdr:row>
      <xdr:rowOff>127000</xdr:rowOff>
    </xdr:from>
    <xdr:to>
      <xdr:col>14</xdr:col>
      <xdr:colOff>139700</xdr:colOff>
      <xdr:row>63</xdr:row>
      <xdr:rowOff>190494</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65</xdr:row>
      <xdr:rowOff>0</xdr:rowOff>
    </xdr:from>
    <xdr:to>
      <xdr:col>13</xdr:col>
      <xdr:colOff>50800</xdr:colOff>
      <xdr:row>86</xdr:row>
      <xdr:rowOff>152400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127000</xdr:colOff>
      <xdr:row>87</xdr:row>
      <xdr:rowOff>76200</xdr:rowOff>
    </xdr:from>
    <xdr:to>
      <xdr:col>11</xdr:col>
      <xdr:colOff>698500</xdr:colOff>
      <xdr:row>111</xdr:row>
      <xdr:rowOff>114294</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279400</xdr:colOff>
      <xdr:row>37</xdr:row>
      <xdr:rowOff>6</xdr:rowOff>
    </xdr:from>
    <xdr:to>
      <xdr:col>15</xdr:col>
      <xdr:colOff>571500</xdr:colOff>
      <xdr:row>65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406400</xdr:colOff>
      <xdr:row>65</xdr:row>
      <xdr:rowOff>88900</xdr:rowOff>
    </xdr:from>
    <xdr:to>
      <xdr:col>15</xdr:col>
      <xdr:colOff>215900</xdr:colOff>
      <xdr:row>92</xdr:row>
      <xdr:rowOff>127006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400050</xdr:colOff>
      <xdr:row>92</xdr:row>
      <xdr:rowOff>177806</xdr:rowOff>
    </xdr:from>
    <xdr:to>
      <xdr:col>13</xdr:col>
      <xdr:colOff>660400</xdr:colOff>
      <xdr:row>116</xdr:row>
      <xdr:rowOff>127000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412750</xdr:colOff>
      <xdr:row>116</xdr:row>
      <xdr:rowOff>177806</xdr:rowOff>
    </xdr:from>
    <xdr:to>
      <xdr:col>13</xdr:col>
      <xdr:colOff>254000</xdr:colOff>
      <xdr:row>134</xdr:row>
      <xdr:rowOff>25400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317500</xdr:colOff>
      <xdr:row>96</xdr:row>
      <xdr:rowOff>38100</xdr:rowOff>
    </xdr:from>
    <xdr:to>
      <xdr:col>11</xdr:col>
      <xdr:colOff>241300</xdr:colOff>
      <xdr:row>96</xdr:row>
      <xdr:rowOff>50800</xdr:rowOff>
    </xdr:to>
    <xdr:cxnSp macro="">
      <xdr:nvCxnSpPr>
        <xdr:cNvPr id="8" name="Straight Connector 7"/>
        <xdr:cNvCxnSpPr/>
      </xdr:nvCxnSpPr>
      <xdr:spPr>
        <a:xfrm>
          <a:off x="1206500" y="18389600"/>
          <a:ext cx="6692900" cy="12700"/>
        </a:xfrm>
        <a:prstGeom prst="line">
          <a:avLst/>
        </a:prstGeom>
        <a:ln>
          <a:solidFill>
            <a:schemeClr val="tx1">
              <a:lumMod val="50000"/>
              <a:lumOff val="50000"/>
            </a:schemeClr>
          </a:solidFill>
          <a:prstDash val="dot"/>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393700</xdr:colOff>
      <xdr:row>117</xdr:row>
      <xdr:rowOff>165100</xdr:rowOff>
    </xdr:from>
    <xdr:to>
      <xdr:col>11</xdr:col>
      <xdr:colOff>330200</xdr:colOff>
      <xdr:row>122</xdr:row>
      <xdr:rowOff>12700</xdr:rowOff>
    </xdr:to>
    <xdr:sp macro="" textlink="">
      <xdr:nvSpPr>
        <xdr:cNvPr id="9" name="Rectangle 8"/>
        <xdr:cNvSpPr/>
      </xdr:nvSpPr>
      <xdr:spPr>
        <a:xfrm>
          <a:off x="1282700" y="22517100"/>
          <a:ext cx="6705600" cy="800100"/>
        </a:xfrm>
        <a:prstGeom prst="rect">
          <a:avLst/>
        </a:prstGeom>
        <a:noFill/>
        <a:ln>
          <a:solidFill>
            <a:schemeClr val="tx1">
              <a:lumMod val="50000"/>
              <a:lumOff val="50000"/>
            </a:schemeClr>
          </a:solidFill>
          <a:prstDash val="sysDash"/>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342900</xdr:colOff>
      <xdr:row>105</xdr:row>
      <xdr:rowOff>101600</xdr:rowOff>
    </xdr:from>
    <xdr:to>
      <xdr:col>11</xdr:col>
      <xdr:colOff>266700</xdr:colOff>
      <xdr:row>105</xdr:row>
      <xdr:rowOff>114300</xdr:rowOff>
    </xdr:to>
    <xdr:cxnSp macro="">
      <xdr:nvCxnSpPr>
        <xdr:cNvPr id="10" name="Straight Connector 9"/>
        <xdr:cNvCxnSpPr/>
      </xdr:nvCxnSpPr>
      <xdr:spPr>
        <a:xfrm>
          <a:off x="1231900" y="20167600"/>
          <a:ext cx="6692900" cy="12700"/>
        </a:xfrm>
        <a:prstGeom prst="line">
          <a:avLst/>
        </a:prstGeom>
        <a:ln>
          <a:solidFill>
            <a:schemeClr val="tx1">
              <a:lumMod val="50000"/>
              <a:lumOff val="50000"/>
            </a:schemeClr>
          </a:solidFill>
          <a:prstDash val="dot"/>
        </a:ln>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279400</xdr:colOff>
      <xdr:row>37</xdr:row>
      <xdr:rowOff>6</xdr:rowOff>
    </xdr:from>
    <xdr:to>
      <xdr:col>15</xdr:col>
      <xdr:colOff>571500</xdr:colOff>
      <xdr:row>65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406400</xdr:colOff>
      <xdr:row>65</xdr:row>
      <xdr:rowOff>88900</xdr:rowOff>
    </xdr:from>
    <xdr:to>
      <xdr:col>15</xdr:col>
      <xdr:colOff>215900</xdr:colOff>
      <xdr:row>92</xdr:row>
      <xdr:rowOff>127006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400050</xdr:colOff>
      <xdr:row>92</xdr:row>
      <xdr:rowOff>177806</xdr:rowOff>
    </xdr:from>
    <xdr:to>
      <xdr:col>13</xdr:col>
      <xdr:colOff>660400</xdr:colOff>
      <xdr:row>116</xdr:row>
      <xdr:rowOff>127000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412750</xdr:colOff>
      <xdr:row>116</xdr:row>
      <xdr:rowOff>177806</xdr:rowOff>
    </xdr:from>
    <xdr:to>
      <xdr:col>13</xdr:col>
      <xdr:colOff>685800</xdr:colOff>
      <xdr:row>134</xdr:row>
      <xdr:rowOff>25400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622300</xdr:colOff>
      <xdr:row>135</xdr:row>
      <xdr:rowOff>25406</xdr:rowOff>
    </xdr:from>
    <xdr:to>
      <xdr:col>15</xdr:col>
      <xdr:colOff>50800</xdr:colOff>
      <xdr:row>164</xdr:row>
      <xdr:rowOff>63500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279400</xdr:colOff>
      <xdr:row>36</xdr:row>
      <xdr:rowOff>6</xdr:rowOff>
    </xdr:from>
    <xdr:to>
      <xdr:col>15</xdr:col>
      <xdr:colOff>571500</xdr:colOff>
      <xdr:row>64</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406400</xdr:colOff>
      <xdr:row>64</xdr:row>
      <xdr:rowOff>88900</xdr:rowOff>
    </xdr:from>
    <xdr:to>
      <xdr:col>15</xdr:col>
      <xdr:colOff>215900</xdr:colOff>
      <xdr:row>91</xdr:row>
      <xdr:rowOff>127006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400050</xdr:colOff>
      <xdr:row>91</xdr:row>
      <xdr:rowOff>177806</xdr:rowOff>
    </xdr:from>
    <xdr:to>
      <xdr:col>13</xdr:col>
      <xdr:colOff>660400</xdr:colOff>
      <xdr:row>115</xdr:row>
      <xdr:rowOff>127000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412750</xdr:colOff>
      <xdr:row>115</xdr:row>
      <xdr:rowOff>177806</xdr:rowOff>
    </xdr:from>
    <xdr:to>
      <xdr:col>13</xdr:col>
      <xdr:colOff>685800</xdr:colOff>
      <xdr:row>133</xdr:row>
      <xdr:rowOff>25400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622300</xdr:colOff>
      <xdr:row>134</xdr:row>
      <xdr:rowOff>25406</xdr:rowOff>
    </xdr:from>
    <xdr:to>
      <xdr:col>15</xdr:col>
      <xdr:colOff>50800</xdr:colOff>
      <xdr:row>163</xdr:row>
      <xdr:rowOff>63500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279400</xdr:colOff>
      <xdr:row>37</xdr:row>
      <xdr:rowOff>6</xdr:rowOff>
    </xdr:from>
    <xdr:to>
      <xdr:col>15</xdr:col>
      <xdr:colOff>571500</xdr:colOff>
      <xdr:row>65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406400</xdr:colOff>
      <xdr:row>65</xdr:row>
      <xdr:rowOff>88900</xdr:rowOff>
    </xdr:from>
    <xdr:to>
      <xdr:col>15</xdr:col>
      <xdr:colOff>215900</xdr:colOff>
      <xdr:row>92</xdr:row>
      <xdr:rowOff>127006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400050</xdr:colOff>
      <xdr:row>92</xdr:row>
      <xdr:rowOff>177806</xdr:rowOff>
    </xdr:from>
    <xdr:to>
      <xdr:col>13</xdr:col>
      <xdr:colOff>660400</xdr:colOff>
      <xdr:row>116</xdr:row>
      <xdr:rowOff>127000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412750</xdr:colOff>
      <xdr:row>116</xdr:row>
      <xdr:rowOff>177806</xdr:rowOff>
    </xdr:from>
    <xdr:to>
      <xdr:col>13</xdr:col>
      <xdr:colOff>685800</xdr:colOff>
      <xdr:row>134</xdr:row>
      <xdr:rowOff>25400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622300</xdr:colOff>
      <xdr:row>135</xdr:row>
      <xdr:rowOff>25406</xdr:rowOff>
    </xdr:from>
    <xdr:to>
      <xdr:col>15</xdr:col>
      <xdr:colOff>50800</xdr:colOff>
      <xdr:row>164</xdr:row>
      <xdr:rowOff>63500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279400</xdr:colOff>
      <xdr:row>36</xdr:row>
      <xdr:rowOff>6</xdr:rowOff>
    </xdr:from>
    <xdr:to>
      <xdr:col>15</xdr:col>
      <xdr:colOff>571500</xdr:colOff>
      <xdr:row>64</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406400</xdr:colOff>
      <xdr:row>64</xdr:row>
      <xdr:rowOff>88900</xdr:rowOff>
    </xdr:from>
    <xdr:to>
      <xdr:col>15</xdr:col>
      <xdr:colOff>215900</xdr:colOff>
      <xdr:row>91</xdr:row>
      <xdr:rowOff>127006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400050</xdr:colOff>
      <xdr:row>91</xdr:row>
      <xdr:rowOff>177806</xdr:rowOff>
    </xdr:from>
    <xdr:to>
      <xdr:col>13</xdr:col>
      <xdr:colOff>660400</xdr:colOff>
      <xdr:row>115</xdr:row>
      <xdr:rowOff>127000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412750</xdr:colOff>
      <xdr:row>115</xdr:row>
      <xdr:rowOff>177806</xdr:rowOff>
    </xdr:from>
    <xdr:to>
      <xdr:col>13</xdr:col>
      <xdr:colOff>685800</xdr:colOff>
      <xdr:row>133</xdr:row>
      <xdr:rowOff>25400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622300</xdr:colOff>
      <xdr:row>134</xdr:row>
      <xdr:rowOff>25406</xdr:rowOff>
    </xdr:from>
    <xdr:to>
      <xdr:col>15</xdr:col>
      <xdr:colOff>50800</xdr:colOff>
      <xdr:row>163</xdr:row>
      <xdr:rowOff>63500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0.11421</cdr:x>
      <cdr:y>0.13764</cdr:y>
    </cdr:from>
    <cdr:to>
      <cdr:x>0.73795</cdr:x>
      <cdr:y>0.14396</cdr:y>
    </cdr:to>
    <cdr:cxnSp macro="">
      <cdr:nvCxnSpPr>
        <cdr:cNvPr id="3" name="Straight Connector 2"/>
        <cdr:cNvCxnSpPr/>
      </cdr:nvCxnSpPr>
      <cdr:spPr>
        <a:xfrm xmlns:a="http://schemas.openxmlformats.org/drawingml/2006/main">
          <a:off x="1117599" y="622297"/>
          <a:ext cx="6103514" cy="28574"/>
        </a:xfrm>
        <a:prstGeom xmlns:a="http://schemas.openxmlformats.org/drawingml/2006/main" prst="line">
          <a:avLst/>
        </a:prstGeom>
        <a:ln xmlns:a="http://schemas.openxmlformats.org/drawingml/2006/main">
          <a:solidFill>
            <a:schemeClr val="tx1">
              <a:lumMod val="50000"/>
              <a:lumOff val="50000"/>
            </a:schemeClr>
          </a:solidFill>
          <a:prstDash val="dot"/>
        </a:l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0.10253</cdr:x>
      <cdr:y>0.53371</cdr:y>
    </cdr:from>
    <cdr:to>
      <cdr:x>0.72627</cdr:x>
      <cdr:y>0.54003</cdr:y>
    </cdr:to>
    <cdr:cxnSp macro="">
      <cdr:nvCxnSpPr>
        <cdr:cNvPr id="4" name="Straight Connector 3"/>
        <cdr:cNvCxnSpPr/>
      </cdr:nvCxnSpPr>
      <cdr:spPr>
        <a:xfrm xmlns:a="http://schemas.openxmlformats.org/drawingml/2006/main">
          <a:off x="1003299" y="2412997"/>
          <a:ext cx="6103514" cy="28574"/>
        </a:xfrm>
        <a:prstGeom xmlns:a="http://schemas.openxmlformats.org/drawingml/2006/main" prst="line">
          <a:avLst/>
        </a:prstGeom>
        <a:ln xmlns:a="http://schemas.openxmlformats.org/drawingml/2006/main">
          <a:solidFill>
            <a:schemeClr val="tx1">
              <a:lumMod val="50000"/>
              <a:lumOff val="50000"/>
            </a:schemeClr>
          </a:solidFill>
          <a:prstDash val="dot"/>
        </a:l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userShapes>
</file>

<file path=xl/drawings/drawing20.xml><?xml version="1.0" encoding="utf-8"?>
<xdr:wsDr xmlns:xdr="http://schemas.openxmlformats.org/drawingml/2006/spreadsheetDrawing" xmlns:a="http://schemas.openxmlformats.org/drawingml/2006/main">
  <xdr:twoCellAnchor>
    <xdr:from>
      <xdr:col>0</xdr:col>
      <xdr:colOff>279400</xdr:colOff>
      <xdr:row>36</xdr:row>
      <xdr:rowOff>6</xdr:rowOff>
    </xdr:from>
    <xdr:to>
      <xdr:col>15</xdr:col>
      <xdr:colOff>571500</xdr:colOff>
      <xdr:row>64</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406400</xdr:colOff>
      <xdr:row>64</xdr:row>
      <xdr:rowOff>88900</xdr:rowOff>
    </xdr:from>
    <xdr:to>
      <xdr:col>15</xdr:col>
      <xdr:colOff>215900</xdr:colOff>
      <xdr:row>91</xdr:row>
      <xdr:rowOff>127006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400050</xdr:colOff>
      <xdr:row>91</xdr:row>
      <xdr:rowOff>177806</xdr:rowOff>
    </xdr:from>
    <xdr:to>
      <xdr:col>13</xdr:col>
      <xdr:colOff>660400</xdr:colOff>
      <xdr:row>115</xdr:row>
      <xdr:rowOff>127000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412750</xdr:colOff>
      <xdr:row>115</xdr:row>
      <xdr:rowOff>177806</xdr:rowOff>
    </xdr:from>
    <xdr:to>
      <xdr:col>13</xdr:col>
      <xdr:colOff>685800</xdr:colOff>
      <xdr:row>133</xdr:row>
      <xdr:rowOff>25400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622300</xdr:colOff>
      <xdr:row>134</xdr:row>
      <xdr:rowOff>25406</xdr:rowOff>
    </xdr:from>
    <xdr:to>
      <xdr:col>15</xdr:col>
      <xdr:colOff>50800</xdr:colOff>
      <xdr:row>163</xdr:row>
      <xdr:rowOff>63500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660400</xdr:colOff>
      <xdr:row>36</xdr:row>
      <xdr:rowOff>12700</xdr:rowOff>
    </xdr:from>
    <xdr:to>
      <xdr:col>6</xdr:col>
      <xdr:colOff>254000</xdr:colOff>
      <xdr:row>50</xdr:row>
      <xdr:rowOff>88900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520700</xdr:colOff>
      <xdr:row>35</xdr:row>
      <xdr:rowOff>177800</xdr:rowOff>
    </xdr:from>
    <xdr:to>
      <xdr:col>12</xdr:col>
      <xdr:colOff>88900</xdr:colOff>
      <xdr:row>50</xdr:row>
      <xdr:rowOff>38100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584200</xdr:colOff>
      <xdr:row>32</xdr:row>
      <xdr:rowOff>127000</xdr:rowOff>
    </xdr:from>
    <xdr:to>
      <xdr:col>17</xdr:col>
      <xdr:colOff>25400</xdr:colOff>
      <xdr:row>46</xdr:row>
      <xdr:rowOff>127000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279400</xdr:colOff>
      <xdr:row>36</xdr:row>
      <xdr:rowOff>6</xdr:rowOff>
    </xdr:from>
    <xdr:to>
      <xdr:col>15</xdr:col>
      <xdr:colOff>571500</xdr:colOff>
      <xdr:row>64</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406400</xdr:colOff>
      <xdr:row>64</xdr:row>
      <xdr:rowOff>88900</xdr:rowOff>
    </xdr:from>
    <xdr:to>
      <xdr:col>15</xdr:col>
      <xdr:colOff>215900</xdr:colOff>
      <xdr:row>91</xdr:row>
      <xdr:rowOff>127006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400050</xdr:colOff>
      <xdr:row>91</xdr:row>
      <xdr:rowOff>177806</xdr:rowOff>
    </xdr:from>
    <xdr:to>
      <xdr:col>13</xdr:col>
      <xdr:colOff>660400</xdr:colOff>
      <xdr:row>115</xdr:row>
      <xdr:rowOff>127000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412750</xdr:colOff>
      <xdr:row>115</xdr:row>
      <xdr:rowOff>177806</xdr:rowOff>
    </xdr:from>
    <xdr:to>
      <xdr:col>13</xdr:col>
      <xdr:colOff>685800</xdr:colOff>
      <xdr:row>133</xdr:row>
      <xdr:rowOff>25400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622300</xdr:colOff>
      <xdr:row>134</xdr:row>
      <xdr:rowOff>25406</xdr:rowOff>
    </xdr:from>
    <xdr:to>
      <xdr:col>15</xdr:col>
      <xdr:colOff>50800</xdr:colOff>
      <xdr:row>163</xdr:row>
      <xdr:rowOff>63500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0.09617</cdr:x>
      <cdr:y>0.05039</cdr:y>
    </cdr:from>
    <cdr:to>
      <cdr:x>0.85505</cdr:x>
      <cdr:y>0.29845</cdr:y>
    </cdr:to>
    <cdr:sp macro="" textlink="">
      <cdr:nvSpPr>
        <cdr:cNvPr id="2" name="Rectangle 1"/>
        <cdr:cNvSpPr/>
      </cdr:nvSpPr>
      <cdr:spPr>
        <a:xfrm xmlns:a="http://schemas.openxmlformats.org/drawingml/2006/main">
          <a:off x="876300" y="165100"/>
          <a:ext cx="6915150" cy="812800"/>
        </a:xfrm>
        <a:prstGeom xmlns:a="http://schemas.openxmlformats.org/drawingml/2006/main" prst="rect">
          <a:avLst/>
        </a:prstGeom>
        <a:noFill xmlns:a="http://schemas.openxmlformats.org/drawingml/2006/main"/>
        <a:ln xmlns:a="http://schemas.openxmlformats.org/drawingml/2006/main">
          <a:solidFill>
            <a:schemeClr val="tx1">
              <a:lumMod val="50000"/>
              <a:lumOff val="50000"/>
            </a:schemeClr>
          </a:solidFill>
          <a:prstDash val="sysDash"/>
        </a:l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US"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279400</xdr:colOff>
      <xdr:row>34</xdr:row>
      <xdr:rowOff>6</xdr:rowOff>
    </xdr:from>
    <xdr:to>
      <xdr:col>15</xdr:col>
      <xdr:colOff>571500</xdr:colOff>
      <xdr:row>62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406400</xdr:colOff>
      <xdr:row>62</xdr:row>
      <xdr:rowOff>88900</xdr:rowOff>
    </xdr:from>
    <xdr:to>
      <xdr:col>15</xdr:col>
      <xdr:colOff>215900</xdr:colOff>
      <xdr:row>89</xdr:row>
      <xdr:rowOff>127006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400050</xdr:colOff>
      <xdr:row>89</xdr:row>
      <xdr:rowOff>177806</xdr:rowOff>
    </xdr:from>
    <xdr:to>
      <xdr:col>13</xdr:col>
      <xdr:colOff>660400</xdr:colOff>
      <xdr:row>113</xdr:row>
      <xdr:rowOff>127000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412750</xdr:colOff>
      <xdr:row>113</xdr:row>
      <xdr:rowOff>177806</xdr:rowOff>
    </xdr:from>
    <xdr:to>
      <xdr:col>13</xdr:col>
      <xdr:colOff>228600</xdr:colOff>
      <xdr:row>131</xdr:row>
      <xdr:rowOff>25400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0.0977</cdr:x>
      <cdr:y>0.13483</cdr:y>
    </cdr:from>
    <cdr:to>
      <cdr:x>0.80048</cdr:x>
      <cdr:y>0.13905</cdr:y>
    </cdr:to>
    <cdr:cxnSp macro="">
      <cdr:nvCxnSpPr>
        <cdr:cNvPr id="3" name="Straight Connector 2"/>
        <cdr:cNvCxnSpPr/>
      </cdr:nvCxnSpPr>
      <cdr:spPr>
        <a:xfrm xmlns:a="http://schemas.openxmlformats.org/drawingml/2006/main">
          <a:off x="889000" y="609600"/>
          <a:ext cx="6395015" cy="19050"/>
        </a:xfrm>
        <a:prstGeom xmlns:a="http://schemas.openxmlformats.org/drawingml/2006/main" prst="line">
          <a:avLst/>
        </a:prstGeom>
        <a:ln xmlns:a="http://schemas.openxmlformats.org/drawingml/2006/main">
          <a:solidFill>
            <a:schemeClr val="tx1">
              <a:lumMod val="50000"/>
              <a:lumOff val="50000"/>
            </a:schemeClr>
          </a:solidFill>
          <a:prstDash val="dot"/>
        </a:l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0.0963</cdr:x>
      <cdr:y>0.5309</cdr:y>
    </cdr:from>
    <cdr:to>
      <cdr:x>0.79908</cdr:x>
      <cdr:y>0.53512</cdr:y>
    </cdr:to>
    <cdr:cxnSp macro="">
      <cdr:nvCxnSpPr>
        <cdr:cNvPr id="4" name="Straight Connector 3"/>
        <cdr:cNvCxnSpPr/>
      </cdr:nvCxnSpPr>
      <cdr:spPr>
        <a:xfrm xmlns:a="http://schemas.openxmlformats.org/drawingml/2006/main">
          <a:off x="876326" y="2400293"/>
          <a:ext cx="6394982" cy="19079"/>
        </a:xfrm>
        <a:prstGeom xmlns:a="http://schemas.openxmlformats.org/drawingml/2006/main" prst="line">
          <a:avLst/>
        </a:prstGeom>
        <a:ln xmlns:a="http://schemas.openxmlformats.org/drawingml/2006/main">
          <a:solidFill>
            <a:schemeClr val="tx1">
              <a:lumMod val="50000"/>
              <a:lumOff val="50000"/>
            </a:schemeClr>
          </a:solidFill>
          <a:prstDash val="dot"/>
        </a:l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userShapes>
</file>

<file path=xl/drawings/drawing6.xml><?xml version="1.0" encoding="utf-8"?>
<c:userShapes xmlns:c="http://schemas.openxmlformats.org/drawingml/2006/chart">
  <cdr:relSizeAnchor xmlns:cdr="http://schemas.openxmlformats.org/drawingml/2006/chartDrawing">
    <cdr:from>
      <cdr:x>0.10204</cdr:x>
      <cdr:y>0.05039</cdr:y>
    </cdr:from>
    <cdr:to>
      <cdr:x>0.84299</cdr:x>
      <cdr:y>0.29845</cdr:y>
    </cdr:to>
    <cdr:sp macro="" textlink="">
      <cdr:nvSpPr>
        <cdr:cNvPr id="2" name="Rectangle 1"/>
        <cdr:cNvSpPr/>
      </cdr:nvSpPr>
      <cdr:spPr>
        <a:xfrm xmlns:a="http://schemas.openxmlformats.org/drawingml/2006/main">
          <a:off x="883157" y="165108"/>
          <a:ext cx="6412994" cy="812791"/>
        </a:xfrm>
        <a:prstGeom xmlns:a="http://schemas.openxmlformats.org/drawingml/2006/main" prst="rect">
          <a:avLst/>
        </a:prstGeom>
        <a:noFill xmlns:a="http://schemas.openxmlformats.org/drawingml/2006/main"/>
        <a:ln xmlns:a="http://schemas.openxmlformats.org/drawingml/2006/main">
          <a:solidFill>
            <a:schemeClr val="tx1">
              <a:lumMod val="50000"/>
              <a:lumOff val="50000"/>
            </a:schemeClr>
          </a:solidFill>
          <a:prstDash val="sysDash"/>
        </a:l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279400</xdr:colOff>
      <xdr:row>37</xdr:row>
      <xdr:rowOff>6</xdr:rowOff>
    </xdr:from>
    <xdr:to>
      <xdr:col>15</xdr:col>
      <xdr:colOff>571500</xdr:colOff>
      <xdr:row>65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406400</xdr:colOff>
      <xdr:row>65</xdr:row>
      <xdr:rowOff>88900</xdr:rowOff>
    </xdr:from>
    <xdr:to>
      <xdr:col>15</xdr:col>
      <xdr:colOff>215900</xdr:colOff>
      <xdr:row>92</xdr:row>
      <xdr:rowOff>127006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400050</xdr:colOff>
      <xdr:row>92</xdr:row>
      <xdr:rowOff>177806</xdr:rowOff>
    </xdr:from>
    <xdr:to>
      <xdr:col>13</xdr:col>
      <xdr:colOff>660400</xdr:colOff>
      <xdr:row>116</xdr:row>
      <xdr:rowOff>127000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412750</xdr:colOff>
      <xdr:row>116</xdr:row>
      <xdr:rowOff>177806</xdr:rowOff>
    </xdr:from>
    <xdr:to>
      <xdr:col>13</xdr:col>
      <xdr:colOff>190500</xdr:colOff>
      <xdr:row>134</xdr:row>
      <xdr:rowOff>25400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0.09617</cdr:x>
      <cdr:y>0.05426</cdr:y>
    </cdr:from>
    <cdr:to>
      <cdr:x>0.8669</cdr:x>
      <cdr:y>0.30233</cdr:y>
    </cdr:to>
    <cdr:sp macro="" textlink="">
      <cdr:nvSpPr>
        <cdr:cNvPr id="2" name="Rectangle 1"/>
        <cdr:cNvSpPr/>
      </cdr:nvSpPr>
      <cdr:spPr>
        <a:xfrm xmlns:a="http://schemas.openxmlformats.org/drawingml/2006/main">
          <a:off x="876300" y="177800"/>
          <a:ext cx="7023100" cy="812800"/>
        </a:xfrm>
        <a:prstGeom xmlns:a="http://schemas.openxmlformats.org/drawingml/2006/main" prst="rect">
          <a:avLst/>
        </a:prstGeom>
        <a:noFill xmlns:a="http://schemas.openxmlformats.org/drawingml/2006/main"/>
        <a:ln xmlns:a="http://schemas.openxmlformats.org/drawingml/2006/main">
          <a:solidFill>
            <a:schemeClr val="tx1">
              <a:lumMod val="50000"/>
              <a:lumOff val="50000"/>
            </a:schemeClr>
          </a:solidFill>
          <a:prstDash val="sysDash"/>
        </a:l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US" sz="1100"/>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279400</xdr:colOff>
      <xdr:row>36</xdr:row>
      <xdr:rowOff>6</xdr:rowOff>
    </xdr:from>
    <xdr:to>
      <xdr:col>15</xdr:col>
      <xdr:colOff>571500</xdr:colOff>
      <xdr:row>64</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406400</xdr:colOff>
      <xdr:row>64</xdr:row>
      <xdr:rowOff>88900</xdr:rowOff>
    </xdr:from>
    <xdr:to>
      <xdr:col>15</xdr:col>
      <xdr:colOff>215900</xdr:colOff>
      <xdr:row>91</xdr:row>
      <xdr:rowOff>127006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400050</xdr:colOff>
      <xdr:row>91</xdr:row>
      <xdr:rowOff>177806</xdr:rowOff>
    </xdr:from>
    <xdr:to>
      <xdr:col>13</xdr:col>
      <xdr:colOff>660400</xdr:colOff>
      <xdr:row>115</xdr:row>
      <xdr:rowOff>127000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412750</xdr:colOff>
      <xdr:row>115</xdr:row>
      <xdr:rowOff>177806</xdr:rowOff>
    </xdr:from>
    <xdr:to>
      <xdr:col>13</xdr:col>
      <xdr:colOff>342900</xdr:colOff>
      <xdr:row>133</xdr:row>
      <xdr:rowOff>25400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RH_Air/Documents/Vermont%20Tech/Anaerobic%20Digestion/Beastie%20Data/Fall'15_Temp_Data/Beastie-v8-2-No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RH_Air/Documents/Vermont%20Tech/Anaerobic%20Digestion/Beastie%20Data/Fall'15_Temp_Data/Digester-Numbers-v8_10_Nov_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RH_Air/Documents/Vermont%20Tech/Anaerobic%20Digestion/Beastie%20Data/Digester-Numbers_11-19-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RH_Air/Documents/Vermont%20Tech/Anaerobic%20Digestion/Beastie%20Data/Fall'15_Temp_Data/Digester-Numbers_11-24-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RH_Air/Downloads/alkalinity_12-2-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JRH_Air/Downloads/digesterNumbers_12-15-1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unters"/>
      <sheetName val="biogas"/>
      <sheetName val="pH"/>
      <sheetName val="tank log"/>
      <sheetName val="% solids"/>
      <sheetName val="TS VS"/>
      <sheetName val="Alkalinity"/>
      <sheetName val="VFA distillation"/>
      <sheetName val="curves"/>
      <sheetName val="Sheet1"/>
      <sheetName val="t curves"/>
    </sheetNames>
    <sheetDataSet>
      <sheetData sheetId="0" refreshError="1"/>
      <sheetData sheetId="1" refreshError="1"/>
      <sheetData sheetId="2" refreshError="1"/>
      <sheetData sheetId="3" refreshError="1"/>
      <sheetData sheetId="4" refreshError="1"/>
      <sheetData sheetId="5" refreshError="1"/>
      <sheetData sheetId="6">
        <row r="26">
          <cell r="M26">
            <v>2600</v>
          </cell>
          <cell r="O26">
            <v>1475</v>
          </cell>
        </row>
        <row r="27">
          <cell r="M27">
            <v>2624.9999999999995</v>
          </cell>
          <cell r="O27">
            <v>1475</v>
          </cell>
        </row>
        <row r="28">
          <cell r="M28">
            <v>2575.0000000000005</v>
          </cell>
          <cell r="O28">
            <v>1550</v>
          </cell>
        </row>
        <row r="29">
          <cell r="M29">
            <v>6100</v>
          </cell>
          <cell r="N29">
            <v>3875</v>
          </cell>
          <cell r="O29">
            <v>1849.9999999999998</v>
          </cell>
        </row>
        <row r="30">
          <cell r="M30">
            <v>5775</v>
          </cell>
          <cell r="N30">
            <v>3750</v>
          </cell>
          <cell r="O30">
            <v>1775.0000000000002</v>
          </cell>
        </row>
        <row r="31">
          <cell r="M31">
            <v>5800</v>
          </cell>
          <cell r="N31">
            <v>3700</v>
          </cell>
          <cell r="O31">
            <v>1849.9999999999998</v>
          </cell>
        </row>
        <row r="32">
          <cell r="M32">
            <v>5650</v>
          </cell>
          <cell r="N32">
            <v>3500</v>
          </cell>
          <cell r="O32">
            <v>1849.9999999999998</v>
          </cell>
        </row>
        <row r="33">
          <cell r="M33">
            <v>5625</v>
          </cell>
          <cell r="N33">
            <v>3475</v>
          </cell>
          <cell r="O33">
            <v>1925.0000000000002</v>
          </cell>
        </row>
        <row r="34">
          <cell r="M34">
            <v>5675</v>
          </cell>
          <cell r="N34">
            <v>3600</v>
          </cell>
          <cell r="O34">
            <v>1775</v>
          </cell>
        </row>
        <row r="38">
          <cell r="M38">
            <v>2424.9999999999995</v>
          </cell>
          <cell r="O38">
            <v>1200</v>
          </cell>
        </row>
        <row r="39">
          <cell r="M39">
            <v>2324.9999999999995</v>
          </cell>
          <cell r="O39">
            <v>1125</v>
          </cell>
        </row>
        <row r="40">
          <cell r="M40">
            <v>2400.0000000000005</v>
          </cell>
          <cell r="O40">
            <v>1250</v>
          </cell>
        </row>
        <row r="41">
          <cell r="M41">
            <v>5700</v>
          </cell>
          <cell r="N41">
            <v>3475</v>
          </cell>
          <cell r="O41">
            <v>1824.9999999999998</v>
          </cell>
        </row>
        <row r="42">
          <cell r="M42">
            <v>5500</v>
          </cell>
          <cell r="N42">
            <v>3525</v>
          </cell>
          <cell r="O42">
            <v>1699.9999999999998</v>
          </cell>
        </row>
        <row r="43">
          <cell r="M43">
            <v>5475</v>
          </cell>
          <cell r="N43">
            <v>3450</v>
          </cell>
          <cell r="O43">
            <v>1774.9999999999993</v>
          </cell>
        </row>
        <row r="44">
          <cell r="M44">
            <v>2575.0000000000005</v>
          </cell>
          <cell r="O44">
            <v>1350</v>
          </cell>
        </row>
        <row r="45">
          <cell r="M45">
            <v>2524.9999999999995</v>
          </cell>
          <cell r="O45">
            <v>1324.9999999999998</v>
          </cell>
        </row>
        <row r="46">
          <cell r="M46">
            <v>2525.0000000000005</v>
          </cell>
          <cell r="O46">
            <v>1425.0000000000007</v>
          </cell>
        </row>
        <row r="47">
          <cell r="M47">
            <v>5650</v>
          </cell>
          <cell r="N47">
            <v>3500</v>
          </cell>
          <cell r="O47">
            <v>1875</v>
          </cell>
        </row>
        <row r="48">
          <cell r="M48">
            <v>5425.0000000000009</v>
          </cell>
          <cell r="N48">
            <v>3400</v>
          </cell>
          <cell r="O48">
            <v>1750</v>
          </cell>
        </row>
        <row r="49">
          <cell r="M49">
            <v>5475</v>
          </cell>
          <cell r="N49">
            <v>3250</v>
          </cell>
          <cell r="O49">
            <v>1900.0000000000002</v>
          </cell>
        </row>
        <row r="50">
          <cell r="M50">
            <v>2850</v>
          </cell>
          <cell r="O50">
            <v>1750</v>
          </cell>
        </row>
        <row r="51">
          <cell r="M51">
            <v>2825</v>
          </cell>
          <cell r="O51">
            <v>1725</v>
          </cell>
        </row>
        <row r="52">
          <cell r="M52">
            <v>2825</v>
          </cell>
          <cell r="O52">
            <v>1799.9999999999998</v>
          </cell>
        </row>
        <row r="53">
          <cell r="M53">
            <v>5550</v>
          </cell>
          <cell r="N53">
            <v>3400</v>
          </cell>
          <cell r="O53">
            <v>1850</v>
          </cell>
        </row>
        <row r="54">
          <cell r="M54">
            <v>5625</v>
          </cell>
          <cell r="N54">
            <v>3475</v>
          </cell>
          <cell r="O54">
            <v>1800.0000000000002</v>
          </cell>
        </row>
        <row r="55">
          <cell r="M55">
            <v>5475</v>
          </cell>
          <cell r="N55">
            <v>3425</v>
          </cell>
          <cell r="O55">
            <v>1775.0000000000002</v>
          </cell>
        </row>
        <row r="56">
          <cell r="M56">
            <v>2450.0000000000005</v>
          </cell>
          <cell r="O56">
            <v>1500</v>
          </cell>
        </row>
        <row r="57">
          <cell r="M57">
            <v>2400.0000000000005</v>
          </cell>
          <cell r="O57">
            <v>1425.0000000000007</v>
          </cell>
        </row>
        <row r="58">
          <cell r="M58">
            <v>2375</v>
          </cell>
          <cell r="O58">
            <v>1400.0000000000002</v>
          </cell>
        </row>
        <row r="59">
          <cell r="M59">
            <v>2650.0000000000005</v>
          </cell>
          <cell r="O59">
            <v>1550</v>
          </cell>
        </row>
        <row r="60">
          <cell r="M60">
            <v>2700</v>
          </cell>
          <cell r="O60">
            <v>1625</v>
          </cell>
        </row>
        <row r="61">
          <cell r="M61">
            <v>3000</v>
          </cell>
          <cell r="O61">
            <v>1974.9999999999998</v>
          </cell>
        </row>
        <row r="62">
          <cell r="M62">
            <v>6625</v>
          </cell>
          <cell r="N62">
            <v>3725</v>
          </cell>
          <cell r="O62">
            <v>2425.0000000000005</v>
          </cell>
        </row>
        <row r="63">
          <cell r="M63">
            <v>6400</v>
          </cell>
          <cell r="N63">
            <v>3700</v>
          </cell>
          <cell r="O63">
            <v>2299.9999999999995</v>
          </cell>
        </row>
        <row r="64">
          <cell r="M64">
            <v>6600</v>
          </cell>
          <cell r="N64">
            <v>3825</v>
          </cell>
          <cell r="O64">
            <v>2349.9999999999995</v>
          </cell>
        </row>
        <row r="171">
          <cell r="M171">
            <v>6657</v>
          </cell>
          <cell r="N171">
            <v>4346.9999999999991</v>
          </cell>
          <cell r="O171">
            <v>1995</v>
          </cell>
        </row>
        <row r="172">
          <cell r="M172">
            <v>7035</v>
          </cell>
          <cell r="N172">
            <v>4410</v>
          </cell>
          <cell r="O172">
            <v>2163.0000000000005</v>
          </cell>
        </row>
        <row r="173">
          <cell r="M173">
            <v>6972</v>
          </cell>
          <cell r="N173">
            <v>4388.9999999999991</v>
          </cell>
          <cell r="O173">
            <v>2163.0000000000005</v>
          </cell>
        </row>
        <row r="174">
          <cell r="M174">
            <v>4788</v>
          </cell>
          <cell r="O174">
            <v>3255</v>
          </cell>
        </row>
        <row r="175">
          <cell r="M175">
            <v>5144.9999999999991</v>
          </cell>
          <cell r="O175">
            <v>3359.9999999999986</v>
          </cell>
        </row>
        <row r="176">
          <cell r="M176">
            <v>5124.0000000000009</v>
          </cell>
          <cell r="O176">
            <v>3401.9999999999995</v>
          </cell>
        </row>
        <row r="177">
          <cell r="M177">
            <v>6951</v>
          </cell>
          <cell r="N177">
            <v>4641</v>
          </cell>
          <cell r="O177">
            <v>1973.9999999999993</v>
          </cell>
        </row>
        <row r="178">
          <cell r="M178">
            <v>6803.9999999999991</v>
          </cell>
          <cell r="N178">
            <v>4536.0000000000009</v>
          </cell>
          <cell r="O178">
            <v>1995</v>
          </cell>
        </row>
        <row r="179">
          <cell r="M179">
            <v>5040</v>
          </cell>
          <cell r="O179">
            <v>3296.9999999999995</v>
          </cell>
        </row>
        <row r="180">
          <cell r="M180">
            <v>5271</v>
          </cell>
          <cell r="O180">
            <v>3402.0000000000005</v>
          </cell>
        </row>
        <row r="181">
          <cell r="N181">
            <v>4368.0000000000009</v>
          </cell>
        </row>
        <row r="182">
          <cell r="M182">
            <v>6404.9999999999991</v>
          </cell>
          <cell r="N182">
            <v>4410</v>
          </cell>
          <cell r="O182">
            <v>1763.9999999999998</v>
          </cell>
        </row>
        <row r="183">
          <cell r="M183">
            <v>6720</v>
          </cell>
          <cell r="N183">
            <v>4556.9999999999991</v>
          </cell>
          <cell r="O183">
            <v>1911.0000000000002</v>
          </cell>
        </row>
        <row r="184">
          <cell r="M184">
            <v>4893.0000000000009</v>
          </cell>
          <cell r="O184">
            <v>3507.0000000000005</v>
          </cell>
        </row>
        <row r="185">
          <cell r="M185">
            <v>4893</v>
          </cell>
          <cell r="O185">
            <v>3528</v>
          </cell>
        </row>
        <row r="187">
          <cell r="M187">
            <v>8449.9999999999982</v>
          </cell>
          <cell r="N187">
            <v>5250</v>
          </cell>
          <cell r="O187">
            <v>2875</v>
          </cell>
        </row>
        <row r="188">
          <cell r="M188">
            <v>8625</v>
          </cell>
          <cell r="N188">
            <v>5500</v>
          </cell>
          <cell r="O188">
            <v>2849.9999999999995</v>
          </cell>
        </row>
        <row r="189">
          <cell r="M189">
            <v>5950.0000000000009</v>
          </cell>
          <cell r="O189">
            <v>4175.0000000000009</v>
          </cell>
        </row>
        <row r="190">
          <cell r="M190">
            <v>6100</v>
          </cell>
          <cell r="O190">
            <v>4350.0000000000009</v>
          </cell>
        </row>
        <row r="191">
          <cell r="M191">
            <v>7074.9999999999991</v>
          </cell>
          <cell r="N191">
            <v>4250</v>
          </cell>
          <cell r="O191">
            <v>2549.9999999999995</v>
          </cell>
        </row>
        <row r="192">
          <cell r="M192">
            <v>6725</v>
          </cell>
          <cell r="N192">
            <v>4025.0000000000005</v>
          </cell>
          <cell r="O192">
            <v>2449.9999999999995</v>
          </cell>
        </row>
        <row r="193">
          <cell r="M193">
            <v>5175</v>
          </cell>
          <cell r="O193">
            <v>3849.9999999999995</v>
          </cell>
        </row>
        <row r="194">
          <cell r="M194">
            <v>5525</v>
          </cell>
          <cell r="O194">
            <v>3975</v>
          </cell>
        </row>
        <row r="195">
          <cell r="M195">
            <v>6350</v>
          </cell>
          <cell r="N195">
            <v>3750</v>
          </cell>
          <cell r="O195">
            <v>2325.0000000000005</v>
          </cell>
        </row>
        <row r="196">
          <cell r="M196">
            <v>6025</v>
          </cell>
          <cell r="N196">
            <v>3425</v>
          </cell>
          <cell r="O196">
            <v>2275.0000000000005</v>
          </cell>
        </row>
        <row r="197">
          <cell r="M197">
            <v>5750</v>
          </cell>
          <cell r="N197">
            <v>3450</v>
          </cell>
          <cell r="O197">
            <v>2049.9999999999995</v>
          </cell>
        </row>
        <row r="198">
          <cell r="M198">
            <v>4800</v>
          </cell>
          <cell r="O198">
            <v>3350</v>
          </cell>
        </row>
        <row r="199">
          <cell r="M199">
            <v>4925</v>
          </cell>
          <cell r="O199">
            <v>3250</v>
          </cell>
        </row>
        <row r="200">
          <cell r="M200">
            <v>4700</v>
          </cell>
          <cell r="O200">
            <v>3175</v>
          </cell>
        </row>
        <row r="201">
          <cell r="M201">
            <v>6175</v>
          </cell>
          <cell r="N201">
            <v>3850</v>
          </cell>
          <cell r="O201">
            <v>2025</v>
          </cell>
        </row>
        <row r="202">
          <cell r="M202">
            <v>6150</v>
          </cell>
          <cell r="N202">
            <v>3950</v>
          </cell>
          <cell r="O202">
            <v>1875</v>
          </cell>
        </row>
        <row r="204">
          <cell r="M204">
            <v>5900</v>
          </cell>
          <cell r="N204">
            <v>3475</v>
          </cell>
          <cell r="O204">
            <v>2225</v>
          </cell>
        </row>
        <row r="205">
          <cell r="M205">
            <v>5650</v>
          </cell>
          <cell r="N205">
            <v>3300</v>
          </cell>
          <cell r="O205">
            <v>2049.9999999999995</v>
          </cell>
        </row>
        <row r="206">
          <cell r="M206">
            <v>5275</v>
          </cell>
          <cell r="O206">
            <v>4075</v>
          </cell>
        </row>
        <row r="207">
          <cell r="M207">
            <v>5525</v>
          </cell>
          <cell r="O207">
            <v>4275.0000000000009</v>
          </cell>
        </row>
        <row r="208">
          <cell r="M208">
            <v>6050</v>
          </cell>
          <cell r="N208">
            <v>3675</v>
          </cell>
          <cell r="O208">
            <v>1975.0000000000007</v>
          </cell>
          <cell r="P208">
            <v>0.53741496598639471</v>
          </cell>
        </row>
        <row r="209">
          <cell r="M209">
            <v>5900</v>
          </cell>
          <cell r="N209">
            <v>3450</v>
          </cell>
          <cell r="O209">
            <v>2024.9999999999993</v>
          </cell>
          <cell r="P209">
            <v>0.58695652173913027</v>
          </cell>
        </row>
        <row r="210">
          <cell r="M210">
            <v>6075</v>
          </cell>
          <cell r="N210">
            <v>3750</v>
          </cell>
          <cell r="O210">
            <v>1974.9999999999998</v>
          </cell>
          <cell r="P210">
            <v>0.52666666666666662</v>
          </cell>
        </row>
        <row r="211">
          <cell r="M211">
            <v>5325</v>
          </cell>
          <cell r="O211">
            <v>3749.9999999999986</v>
          </cell>
        </row>
        <row r="212">
          <cell r="M212">
            <v>5024.9999999999991</v>
          </cell>
          <cell r="O212">
            <v>3700</v>
          </cell>
        </row>
        <row r="213">
          <cell r="M213">
            <v>5300.0000000000009</v>
          </cell>
          <cell r="O213">
            <v>3925.0000000000005</v>
          </cell>
        </row>
        <row r="214">
          <cell r="M214">
            <v>6450</v>
          </cell>
          <cell r="N214">
            <v>3850</v>
          </cell>
          <cell r="O214">
            <v>2075.0000000000005</v>
          </cell>
          <cell r="P214">
            <v>0.53896103896103909</v>
          </cell>
        </row>
        <row r="215">
          <cell r="M215">
            <v>6325</v>
          </cell>
          <cell r="N215">
            <v>3875</v>
          </cell>
          <cell r="O215">
            <v>2000</v>
          </cell>
          <cell r="P215">
            <v>0.5161290322580645</v>
          </cell>
        </row>
        <row r="216">
          <cell r="M216">
            <v>5300.0000000000009</v>
          </cell>
          <cell r="O216">
            <v>4250</v>
          </cell>
        </row>
        <row r="217">
          <cell r="M217">
            <v>5475</v>
          </cell>
          <cell r="O217">
            <v>4174.9999999999991</v>
          </cell>
        </row>
        <row r="218">
          <cell r="M218">
            <v>7000</v>
          </cell>
          <cell r="N218">
            <v>4375</v>
          </cell>
          <cell r="O218">
            <v>2125</v>
          </cell>
          <cell r="P218">
            <v>0.48571428571428571</v>
          </cell>
        </row>
        <row r="219">
          <cell r="M219">
            <v>7025</v>
          </cell>
          <cell r="N219">
            <v>4550</v>
          </cell>
          <cell r="O219">
            <v>2025.0000000000002</v>
          </cell>
          <cell r="P219">
            <v>0.44505494505494508</v>
          </cell>
        </row>
        <row r="220">
          <cell r="M220">
            <v>6525</v>
          </cell>
          <cell r="O220">
            <v>5324.9999999999991</v>
          </cell>
        </row>
        <row r="221">
          <cell r="M221">
            <v>6674.9999999999991</v>
          </cell>
          <cell r="O221">
            <v>5299.9999999999991</v>
          </cell>
        </row>
        <row r="222">
          <cell r="M222">
            <v>7850</v>
          </cell>
          <cell r="N222">
            <v>5175</v>
          </cell>
          <cell r="O222">
            <v>2250</v>
          </cell>
          <cell r="P222">
            <v>0.43478260869565216</v>
          </cell>
        </row>
        <row r="223">
          <cell r="M223">
            <v>7824.9999999999991</v>
          </cell>
          <cell r="N223">
            <v>5175</v>
          </cell>
          <cell r="O223">
            <v>2274.9999999999995</v>
          </cell>
          <cell r="P223">
            <v>0.43961352657004821</v>
          </cell>
        </row>
        <row r="224">
          <cell r="M224">
            <v>5975</v>
          </cell>
          <cell r="O224">
            <v>4749.9999999999991</v>
          </cell>
        </row>
        <row r="225">
          <cell r="M225">
            <v>6199.9999999999991</v>
          </cell>
          <cell r="O225">
            <v>5025.0000000000009</v>
          </cell>
        </row>
      </sheetData>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unters"/>
      <sheetName val="biogas"/>
      <sheetName val="pH"/>
      <sheetName val="tank log"/>
      <sheetName val="% solids"/>
      <sheetName val="TS VS"/>
      <sheetName val="Alkalinity"/>
      <sheetName val="VFA distillation"/>
      <sheetName val="curves"/>
      <sheetName val="Sheet1"/>
      <sheetName val="t curves"/>
    </sheetNames>
    <sheetDataSet>
      <sheetData sheetId="0" refreshError="1"/>
      <sheetData sheetId="1" refreshError="1"/>
      <sheetData sheetId="2" refreshError="1"/>
      <sheetData sheetId="3" refreshError="1"/>
      <sheetData sheetId="4" refreshError="1"/>
      <sheetData sheetId="5" refreshError="1"/>
      <sheetData sheetId="6">
        <row r="228">
          <cell r="M228">
            <v>7275</v>
          </cell>
          <cell r="N228">
            <v>4825</v>
          </cell>
          <cell r="O228">
            <v>2099.9999999999995</v>
          </cell>
        </row>
        <row r="229">
          <cell r="M229">
            <v>7600</v>
          </cell>
          <cell r="N229">
            <v>5050.0000000000009</v>
          </cell>
          <cell r="O229">
            <v>2224.9999999999995</v>
          </cell>
        </row>
        <row r="230">
          <cell r="M230">
            <v>6375</v>
          </cell>
          <cell r="O230">
            <v>4925.0000000000009</v>
          </cell>
        </row>
        <row r="231">
          <cell r="M231">
            <v>6324.9999999999991</v>
          </cell>
          <cell r="O231">
            <v>5000</v>
          </cell>
        </row>
      </sheetData>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unters"/>
      <sheetName val="biogas"/>
      <sheetName val="pH"/>
      <sheetName val="tank log"/>
      <sheetName val="% solids"/>
      <sheetName val="TS VS"/>
      <sheetName val="Alkalinity"/>
      <sheetName val="VFA distillation"/>
      <sheetName val="curves"/>
      <sheetName val="Sheet1"/>
      <sheetName val="t curves"/>
    </sheetNames>
    <sheetDataSet>
      <sheetData sheetId="0"/>
      <sheetData sheetId="1"/>
      <sheetData sheetId="2"/>
      <sheetData sheetId="3"/>
      <sheetData sheetId="4"/>
      <sheetData sheetId="5"/>
      <sheetData sheetId="6">
        <row r="232">
          <cell r="M232">
            <v>7324.9999999999991</v>
          </cell>
          <cell r="N232">
            <v>4724.9999999999991</v>
          </cell>
          <cell r="O232">
            <v>2125</v>
          </cell>
          <cell r="P232">
            <v>0.44973544973544982</v>
          </cell>
        </row>
        <row r="233">
          <cell r="M233">
            <v>7325</v>
          </cell>
          <cell r="N233">
            <v>4750</v>
          </cell>
          <cell r="O233">
            <v>2149.9999999999995</v>
          </cell>
          <cell r="P233">
            <v>0.45263157894736833</v>
          </cell>
        </row>
        <row r="234">
          <cell r="M234">
            <v>6800.0000000000009</v>
          </cell>
          <cell r="N234">
            <v>500</v>
          </cell>
          <cell r="O234">
            <v>5075</v>
          </cell>
          <cell r="P234">
            <v>10.15</v>
          </cell>
        </row>
        <row r="235">
          <cell r="M235">
            <v>6050</v>
          </cell>
          <cell r="N235">
            <v>275.00000000000017</v>
          </cell>
          <cell r="O235">
            <v>4449.9999999999991</v>
          </cell>
          <cell r="P235">
            <v>16.181818181818169</v>
          </cell>
        </row>
      </sheetData>
      <sheetData sheetId="7"/>
      <sheetData sheetId="8"/>
      <sheetData sheetId="9"/>
      <sheetData sheetId="10"/>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unters"/>
      <sheetName val="biogas"/>
      <sheetName val="pH"/>
      <sheetName val="tank log"/>
      <sheetName val="% solids"/>
      <sheetName val="TS VS"/>
      <sheetName val="Alkalinity"/>
      <sheetName val="VFA distillation"/>
      <sheetName val="curves"/>
      <sheetName val="Sheet1"/>
      <sheetName val="t curves"/>
    </sheetNames>
    <sheetDataSet>
      <sheetData sheetId="0"/>
      <sheetData sheetId="1"/>
      <sheetData sheetId="2"/>
      <sheetData sheetId="3"/>
      <sheetData sheetId="4"/>
      <sheetData sheetId="5"/>
      <sheetData sheetId="6">
        <row r="236">
          <cell r="M236">
            <v>8225.0000000000018</v>
          </cell>
          <cell r="N236">
            <v>5300</v>
          </cell>
          <cell r="O236">
            <v>2500</v>
          </cell>
        </row>
        <row r="237">
          <cell r="M237">
            <v>8100.0000000000009</v>
          </cell>
          <cell r="N237">
            <v>5000</v>
          </cell>
          <cell r="O237">
            <v>2274.9999999999995</v>
          </cell>
        </row>
        <row r="238">
          <cell r="M238">
            <v>6275</v>
          </cell>
          <cell r="O238">
            <v>4875</v>
          </cell>
        </row>
        <row r="239">
          <cell r="M239">
            <v>6550.0000000000009</v>
          </cell>
          <cell r="O239">
            <v>5074.9999999999991</v>
          </cell>
        </row>
      </sheetData>
      <sheetData sheetId="7"/>
      <sheetData sheetId="8"/>
      <sheetData sheetId="9"/>
      <sheetData sheetId="10"/>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sheetDataSet>
      <sheetData sheetId="0">
        <row r="2">
          <cell r="M2">
            <v>8200.0000000000018</v>
          </cell>
          <cell r="N2">
            <v>5625</v>
          </cell>
          <cell r="O2">
            <v>2125</v>
          </cell>
          <cell r="P2">
            <v>0.37777777777777777</v>
          </cell>
        </row>
        <row r="3">
          <cell r="M3">
            <v>7900</v>
          </cell>
          <cell r="N3">
            <v>5350</v>
          </cell>
          <cell r="O3">
            <v>2174.9999999999995</v>
          </cell>
          <cell r="P3">
            <v>0.40654205607476629</v>
          </cell>
        </row>
        <row r="4">
          <cell r="M4">
            <v>7100</v>
          </cell>
          <cell r="O4">
            <v>5450</v>
          </cell>
        </row>
        <row r="5">
          <cell r="M5">
            <v>7125</v>
          </cell>
          <cell r="O5">
            <v>5600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s>
    <sheetDataSet>
      <sheetData sheetId="0">
        <row r="37">
          <cell r="M37">
            <v>8650</v>
          </cell>
          <cell r="N37">
            <v>5750</v>
          </cell>
          <cell r="O37">
            <v>2650.0000000000005</v>
          </cell>
        </row>
        <row r="38">
          <cell r="M38">
            <v>8350</v>
          </cell>
          <cell r="N38">
            <v>5450</v>
          </cell>
          <cell r="O38">
            <v>2500.0000000000009</v>
          </cell>
        </row>
        <row r="39">
          <cell r="M39">
            <v>6824.9999999999991</v>
          </cell>
          <cell r="O39">
            <v>4750</v>
          </cell>
        </row>
        <row r="40">
          <cell r="M40">
            <v>7125</v>
          </cell>
          <cell r="O40">
            <v>4849.9999999999991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topLeftCell="N1" workbookViewId="0">
      <selection activeCell="X30" sqref="X30"/>
    </sheetView>
  </sheetViews>
  <sheetFormatPr baseColWidth="10" defaultRowHeight="15" x14ac:dyDescent="0"/>
  <cols>
    <col min="1" max="1" width="11.6640625" customWidth="1"/>
    <col min="2" max="2" width="6.33203125" customWidth="1"/>
    <col min="3" max="3" width="10.83203125" style="66"/>
    <col min="4" max="4" width="10.83203125" style="2"/>
    <col min="5" max="5" width="10.83203125" style="22"/>
    <col min="6" max="6" width="4.6640625" style="2" customWidth="1"/>
    <col min="7" max="8" width="10.83203125" style="65"/>
    <col min="9" max="9" width="5" customWidth="1"/>
    <col min="10" max="10" width="10.6640625" style="3" customWidth="1"/>
    <col min="11" max="11" width="8" style="3" customWidth="1"/>
    <col min="12" max="12" width="4.6640625" style="22" customWidth="1"/>
    <col min="13" max="14" width="10.83203125" style="5"/>
    <col min="15" max="15" width="5.1640625" customWidth="1"/>
    <col min="16" max="18" width="10.83203125" style="66"/>
    <col min="19" max="21" width="8.6640625" style="66" customWidth="1"/>
    <col min="22" max="22" width="8.6640625" style="6" customWidth="1"/>
    <col min="23" max="24" width="9.83203125" customWidth="1"/>
  </cols>
  <sheetData>
    <row r="1" spans="1:26" s="9" customFormat="1" ht="18">
      <c r="A1" s="9" t="s">
        <v>37</v>
      </c>
      <c r="C1" s="63"/>
      <c r="D1" s="12"/>
      <c r="E1" s="19"/>
      <c r="F1" s="12"/>
      <c r="G1" s="70"/>
      <c r="H1" s="70"/>
      <c r="J1" s="72"/>
      <c r="K1" s="72"/>
      <c r="L1" s="19"/>
      <c r="M1" s="68"/>
      <c r="N1" s="68"/>
      <c r="P1" s="63"/>
      <c r="Q1" s="63"/>
      <c r="R1" s="63"/>
      <c r="S1" s="63"/>
      <c r="T1" s="63"/>
      <c r="U1" s="63"/>
      <c r="V1" s="11"/>
    </row>
    <row r="2" spans="1:26" s="23" customFormat="1" ht="60">
      <c r="A2" s="23" t="s">
        <v>12</v>
      </c>
      <c r="B2" s="24" t="s">
        <v>38</v>
      </c>
      <c r="C2" s="64" t="s">
        <v>28</v>
      </c>
      <c r="D2" s="26" t="s">
        <v>9</v>
      </c>
      <c r="E2" s="74" t="s">
        <v>10</v>
      </c>
      <c r="F2" s="27" t="s">
        <v>24</v>
      </c>
      <c r="G2" s="71" t="s">
        <v>29</v>
      </c>
      <c r="H2" s="71" t="s">
        <v>30</v>
      </c>
      <c r="I2" s="27" t="s">
        <v>24</v>
      </c>
      <c r="J2" s="28" t="s">
        <v>1</v>
      </c>
      <c r="K2" s="28" t="s">
        <v>11</v>
      </c>
      <c r="L2" s="30" t="s">
        <v>24</v>
      </c>
      <c r="M2" s="69" t="s">
        <v>13</v>
      </c>
      <c r="N2" s="69" t="s">
        <v>14</v>
      </c>
      <c r="O2" s="27" t="s">
        <v>24</v>
      </c>
      <c r="P2" s="77" t="s">
        <v>15</v>
      </c>
      <c r="Q2" s="77" t="s">
        <v>16</v>
      </c>
      <c r="R2" s="77" t="s">
        <v>17</v>
      </c>
      <c r="S2" s="77" t="s">
        <v>18</v>
      </c>
      <c r="T2" s="77" t="s">
        <v>19</v>
      </c>
      <c r="U2" s="77" t="s">
        <v>20</v>
      </c>
      <c r="V2" s="32"/>
      <c r="W2" s="23" t="s">
        <v>5</v>
      </c>
      <c r="X2" s="23" t="s">
        <v>6</v>
      </c>
      <c r="Y2" s="23" t="s">
        <v>7</v>
      </c>
      <c r="Z2" s="23" t="s">
        <v>8</v>
      </c>
    </row>
    <row r="3" spans="1:26" ht="14" customHeight="1">
      <c r="B3" s="20">
        <v>1</v>
      </c>
      <c r="C3" s="65"/>
      <c r="D3" s="73"/>
      <c r="E3" s="4"/>
      <c r="F3" s="20">
        <v>1</v>
      </c>
      <c r="I3" s="20">
        <v>1</v>
      </c>
      <c r="L3" s="20">
        <v>1</v>
      </c>
      <c r="O3" s="20">
        <v>1</v>
      </c>
      <c r="P3" s="65"/>
      <c r="Q3" s="65"/>
      <c r="R3" s="65"/>
      <c r="S3" s="65"/>
      <c r="T3" s="65"/>
      <c r="U3" s="65"/>
    </row>
    <row r="4" spans="1:26" ht="14" customHeight="1">
      <c r="B4" s="20">
        <v>2</v>
      </c>
      <c r="C4" s="65">
        <v>979.09947644217755</v>
      </c>
      <c r="D4" s="73">
        <v>55.3</v>
      </c>
      <c r="E4" s="4">
        <v>115</v>
      </c>
      <c r="F4" s="20">
        <v>2</v>
      </c>
      <c r="G4" s="65">
        <v>606.65968586535337</v>
      </c>
      <c r="H4" s="65">
        <v>2925.738219902421</v>
      </c>
      <c r="I4" s="20">
        <v>2</v>
      </c>
      <c r="J4" s="3">
        <v>5.46</v>
      </c>
      <c r="K4" s="3">
        <v>7.72</v>
      </c>
      <c r="L4" s="20">
        <v>2</v>
      </c>
      <c r="O4" s="20">
        <v>2</v>
      </c>
      <c r="P4" s="65"/>
      <c r="Q4" s="65"/>
      <c r="R4" s="65"/>
      <c r="S4" s="65"/>
      <c r="T4" s="65"/>
      <c r="U4" s="65"/>
      <c r="W4">
        <v>13</v>
      </c>
      <c r="X4">
        <v>0</v>
      </c>
      <c r="Y4">
        <v>36057</v>
      </c>
      <c r="Z4">
        <v>778</v>
      </c>
    </row>
    <row r="5" spans="1:26" ht="14" customHeight="1">
      <c r="B5" s="20">
        <v>3</v>
      </c>
      <c r="C5" s="65"/>
      <c r="D5" s="73"/>
      <c r="E5" s="4"/>
      <c r="F5" s="20">
        <v>3</v>
      </c>
      <c r="I5" s="20">
        <v>3</v>
      </c>
      <c r="L5" s="20">
        <v>3</v>
      </c>
      <c r="O5" s="20">
        <v>3</v>
      </c>
      <c r="P5" s="65"/>
      <c r="Q5" s="65"/>
      <c r="R5" s="65"/>
      <c r="S5" s="65"/>
      <c r="T5" s="65"/>
      <c r="U5" s="65"/>
    </row>
    <row r="6" spans="1:26" ht="14" customHeight="1">
      <c r="B6" s="20">
        <v>4</v>
      </c>
      <c r="C6" s="65"/>
      <c r="D6" s="73"/>
      <c r="E6" s="4"/>
      <c r="F6" s="20">
        <v>4</v>
      </c>
      <c r="I6" s="20">
        <v>4</v>
      </c>
      <c r="L6" s="20">
        <v>4</v>
      </c>
      <c r="O6" s="20">
        <v>4</v>
      </c>
      <c r="P6" s="65"/>
      <c r="Q6" s="65"/>
      <c r="R6" s="65"/>
      <c r="S6" s="65"/>
      <c r="T6" s="65"/>
      <c r="U6" s="65"/>
    </row>
    <row r="7" spans="1:26" ht="14" customHeight="1">
      <c r="B7" s="20">
        <v>5</v>
      </c>
      <c r="C7" s="65">
        <v>647.75086505085937</v>
      </c>
      <c r="D7" s="73">
        <v>55.5</v>
      </c>
      <c r="E7" s="4">
        <v>60</v>
      </c>
      <c r="F7" s="20">
        <v>5</v>
      </c>
      <c r="G7" s="65">
        <v>546.10380622749381</v>
      </c>
      <c r="H7" s="65">
        <v>1771.1833910006062</v>
      </c>
      <c r="I7" s="20">
        <v>5</v>
      </c>
      <c r="J7" s="3">
        <v>5.57</v>
      </c>
      <c r="K7" s="3">
        <v>7.64</v>
      </c>
      <c r="L7" s="20">
        <v>5</v>
      </c>
      <c r="M7" s="5">
        <v>15.63</v>
      </c>
      <c r="N7" s="5">
        <v>0.15</v>
      </c>
      <c r="O7" s="20">
        <v>5</v>
      </c>
      <c r="P7" s="65">
        <v>11125</v>
      </c>
      <c r="Q7" s="65">
        <v>600</v>
      </c>
      <c r="R7" s="65">
        <v>9375</v>
      </c>
      <c r="S7" s="65">
        <v>11700</v>
      </c>
      <c r="T7" s="65">
        <v>9700</v>
      </c>
      <c r="U7" s="65">
        <v>1500</v>
      </c>
      <c r="W7">
        <v>16</v>
      </c>
      <c r="X7" s="94">
        <v>93</v>
      </c>
      <c r="Y7">
        <v>38057</v>
      </c>
      <c r="Z7">
        <v>793</v>
      </c>
    </row>
    <row r="8" spans="1:26" ht="14" customHeight="1">
      <c r="B8" s="20">
        <v>6</v>
      </c>
      <c r="C8" s="65">
        <v>906.55670103310376</v>
      </c>
      <c r="D8" s="73">
        <v>54.3</v>
      </c>
      <c r="E8" s="4">
        <v>180</v>
      </c>
      <c r="F8" s="20">
        <v>6</v>
      </c>
      <c r="G8" s="65">
        <v>606.68041237259024</v>
      </c>
      <c r="H8" s="65">
        <v>3241.2371134098421</v>
      </c>
      <c r="I8" s="20">
        <v>6</v>
      </c>
      <c r="J8" s="3">
        <v>5.56</v>
      </c>
      <c r="K8" s="3">
        <v>7.68</v>
      </c>
      <c r="L8" s="20">
        <v>6</v>
      </c>
      <c r="O8" s="20">
        <v>6</v>
      </c>
      <c r="P8" s="65"/>
      <c r="Q8" s="65"/>
      <c r="R8" s="65"/>
      <c r="S8" s="65"/>
      <c r="T8" s="65"/>
      <c r="U8" s="65"/>
      <c r="W8">
        <v>9</v>
      </c>
      <c r="X8" s="94">
        <v>4</v>
      </c>
      <c r="Y8">
        <v>38957</v>
      </c>
      <c r="Z8">
        <v>803</v>
      </c>
    </row>
    <row r="9" spans="1:26" ht="14" customHeight="1">
      <c r="B9" s="20">
        <v>7</v>
      </c>
      <c r="C9" s="65">
        <v>1546.6666666666665</v>
      </c>
      <c r="D9" s="73">
        <v>53.6</v>
      </c>
      <c r="E9" s="4">
        <v>225</v>
      </c>
      <c r="F9" s="20">
        <v>7</v>
      </c>
      <c r="G9" s="65">
        <v>634.18181818181824</v>
      </c>
      <c r="H9" s="65">
        <v>3504.4848484848485</v>
      </c>
      <c r="I9" s="20">
        <v>7</v>
      </c>
      <c r="J9" s="3">
        <v>5.9</v>
      </c>
      <c r="K9" s="3">
        <v>7.74</v>
      </c>
      <c r="L9" s="20">
        <v>7</v>
      </c>
      <c r="O9" s="20">
        <v>7</v>
      </c>
      <c r="P9" s="65"/>
      <c r="Q9" s="65"/>
      <c r="R9" s="65"/>
      <c r="S9" s="65"/>
      <c r="T9" s="65"/>
      <c r="U9" s="65"/>
      <c r="W9">
        <v>8</v>
      </c>
      <c r="X9">
        <v>0</v>
      </c>
      <c r="Y9">
        <v>40557</v>
      </c>
      <c r="Z9">
        <v>813</v>
      </c>
    </row>
    <row r="10" spans="1:26" ht="14" customHeight="1">
      <c r="B10" s="20">
        <v>8</v>
      </c>
      <c r="C10" s="65">
        <v>519.24087591152625</v>
      </c>
      <c r="D10" s="73">
        <v>55.3</v>
      </c>
      <c r="E10" s="4">
        <v>235</v>
      </c>
      <c r="F10" s="20">
        <v>8</v>
      </c>
      <c r="G10" s="65">
        <v>509.78102189694391</v>
      </c>
      <c r="H10" s="65">
        <v>1231.8832116767385</v>
      </c>
      <c r="I10" s="20">
        <v>8</v>
      </c>
      <c r="J10" s="3">
        <v>5.76</v>
      </c>
      <c r="K10" s="3">
        <v>7.75</v>
      </c>
      <c r="L10" s="20">
        <v>8</v>
      </c>
      <c r="O10" s="20">
        <v>8</v>
      </c>
      <c r="P10" s="65"/>
      <c r="Q10" s="65"/>
      <c r="R10" s="65"/>
      <c r="S10" s="65"/>
      <c r="T10" s="65"/>
      <c r="U10" s="65"/>
      <c r="W10">
        <v>3</v>
      </c>
      <c r="X10" s="94">
        <v>86</v>
      </c>
      <c r="Y10">
        <v>41157</v>
      </c>
      <c r="Z10">
        <v>817</v>
      </c>
    </row>
    <row r="11" spans="1:26" ht="14" customHeight="1">
      <c r="B11" s="20">
        <v>9</v>
      </c>
      <c r="C11" s="65">
        <v>892.99328859339471</v>
      </c>
      <c r="D11" s="73">
        <v>57</v>
      </c>
      <c r="E11" s="4">
        <v>225</v>
      </c>
      <c r="F11" s="20">
        <v>9</v>
      </c>
      <c r="G11" s="65">
        <v>523.81208053854982</v>
      </c>
      <c r="H11" s="65">
        <v>3162.2013422917621</v>
      </c>
      <c r="I11" s="20">
        <v>9</v>
      </c>
      <c r="J11" s="3">
        <v>5.75</v>
      </c>
      <c r="K11" s="3">
        <v>7.71</v>
      </c>
      <c r="L11" s="20">
        <v>9</v>
      </c>
      <c r="O11" s="20">
        <v>9</v>
      </c>
      <c r="P11" s="65"/>
      <c r="Q11" s="65"/>
      <c r="R11" s="65"/>
      <c r="S11" s="65"/>
      <c r="T11" s="65"/>
      <c r="U11" s="65"/>
      <c r="W11">
        <v>8</v>
      </c>
      <c r="X11" s="94">
        <v>1</v>
      </c>
      <c r="Y11">
        <v>42057</v>
      </c>
      <c r="Z11">
        <v>826</v>
      </c>
    </row>
    <row r="12" spans="1:26" ht="14" customHeight="1">
      <c r="B12" s="20">
        <v>10</v>
      </c>
      <c r="C12" s="65">
        <v>1000.109589039501</v>
      </c>
      <c r="D12" s="73">
        <v>56.8</v>
      </c>
      <c r="E12" s="4">
        <v>220</v>
      </c>
      <c r="F12" s="20">
        <v>10</v>
      </c>
      <c r="G12" s="65">
        <v>630.24657534146058</v>
      </c>
      <c r="H12" s="65">
        <v>3268.6027397208154</v>
      </c>
      <c r="I12" s="20">
        <v>10</v>
      </c>
      <c r="J12" s="3">
        <v>5.76</v>
      </c>
      <c r="K12" s="3">
        <v>7.68</v>
      </c>
      <c r="L12" s="20">
        <v>10</v>
      </c>
      <c r="O12" s="20">
        <v>10</v>
      </c>
      <c r="P12" s="65"/>
      <c r="Q12" s="65"/>
      <c r="R12" s="65"/>
      <c r="S12" s="65"/>
      <c r="T12" s="65"/>
      <c r="U12" s="65"/>
      <c r="W12">
        <v>7</v>
      </c>
      <c r="X12" s="94">
        <v>1</v>
      </c>
      <c r="Y12">
        <v>43057</v>
      </c>
      <c r="Z12">
        <v>836</v>
      </c>
    </row>
    <row r="13" spans="1:26" ht="14" customHeight="1">
      <c r="B13" s="20">
        <v>11</v>
      </c>
      <c r="C13" s="65">
        <v>892.25316455959171</v>
      </c>
      <c r="D13" s="73">
        <v>56.7</v>
      </c>
      <c r="E13" s="4">
        <v>235</v>
      </c>
      <c r="F13" s="20">
        <v>11</v>
      </c>
      <c r="G13" s="65">
        <v>610.63291139420471</v>
      </c>
      <c r="H13" s="65">
        <v>3157.9746835536112</v>
      </c>
      <c r="I13" s="20">
        <v>11</v>
      </c>
      <c r="J13" s="3">
        <v>5.72</v>
      </c>
      <c r="K13" s="3">
        <v>7.67</v>
      </c>
      <c r="L13" s="20">
        <v>11</v>
      </c>
      <c r="O13" s="20">
        <v>11</v>
      </c>
      <c r="P13" s="65"/>
      <c r="Q13" s="65"/>
      <c r="R13" s="65"/>
      <c r="S13" s="65"/>
      <c r="T13" s="65"/>
      <c r="U13" s="65"/>
      <c r="W13">
        <v>7</v>
      </c>
      <c r="X13">
        <v>0</v>
      </c>
      <c r="Y13">
        <v>44057</v>
      </c>
      <c r="Z13">
        <v>846</v>
      </c>
    </row>
    <row r="14" spans="1:26" ht="14" customHeight="1">
      <c r="B14" s="20">
        <v>12</v>
      </c>
      <c r="C14" s="65">
        <v>816.27563576530702</v>
      </c>
      <c r="D14" s="73">
        <v>57.8</v>
      </c>
      <c r="E14" s="4">
        <v>245</v>
      </c>
      <c r="F14" s="20">
        <v>12</v>
      </c>
      <c r="G14" s="65">
        <v>531.58326497017106</v>
      </c>
      <c r="H14" s="65">
        <v>10780.50861359507</v>
      </c>
      <c r="I14" s="20">
        <v>12</v>
      </c>
      <c r="J14" s="3">
        <v>6.1</v>
      </c>
      <c r="K14" s="3">
        <v>7.76</v>
      </c>
      <c r="L14" s="20">
        <v>12</v>
      </c>
      <c r="O14" s="20">
        <v>12</v>
      </c>
      <c r="P14" s="65"/>
      <c r="Q14" s="65"/>
      <c r="R14" s="65"/>
      <c r="S14" s="65"/>
      <c r="T14" s="65"/>
      <c r="U14" s="65"/>
      <c r="W14">
        <v>11</v>
      </c>
      <c r="X14" s="94">
        <v>5</v>
      </c>
      <c r="Y14">
        <v>44757</v>
      </c>
      <c r="Z14">
        <v>852</v>
      </c>
    </row>
    <row r="15" spans="1:26" ht="14" customHeight="1">
      <c r="B15" s="20">
        <v>13</v>
      </c>
      <c r="C15" s="65">
        <v>648.54209445337165</v>
      </c>
      <c r="D15" s="73">
        <v>56.4</v>
      </c>
      <c r="E15" s="4">
        <v>205</v>
      </c>
      <c r="F15" s="20">
        <v>13</v>
      </c>
      <c r="G15" s="65">
        <v>678.11088295428522</v>
      </c>
      <c r="H15" s="65">
        <v>3162.8747433143917</v>
      </c>
      <c r="I15" s="20">
        <v>13</v>
      </c>
      <c r="J15" s="3">
        <v>5.79</v>
      </c>
      <c r="K15" s="3">
        <v>7.8</v>
      </c>
      <c r="L15" s="20">
        <v>13</v>
      </c>
      <c r="O15" s="20">
        <v>13</v>
      </c>
      <c r="P15" s="65"/>
      <c r="Q15" s="65"/>
      <c r="R15" s="65"/>
      <c r="S15" s="65"/>
      <c r="T15" s="65"/>
      <c r="U15" s="65"/>
      <c r="W15">
        <v>7</v>
      </c>
      <c r="X15" s="94">
        <v>1</v>
      </c>
      <c r="Y15">
        <v>45757</v>
      </c>
      <c r="Z15">
        <v>862</v>
      </c>
    </row>
    <row r="16" spans="1:26" ht="14" customHeight="1">
      <c r="B16" s="20">
        <v>14</v>
      </c>
      <c r="C16" s="65">
        <v>856.26845637851488</v>
      </c>
      <c r="D16" s="73">
        <v>56.3</v>
      </c>
      <c r="E16" s="4">
        <v>160</v>
      </c>
      <c r="F16" s="20">
        <v>14</v>
      </c>
      <c r="G16" s="65">
        <v>669.74496644504609</v>
      </c>
      <c r="H16" s="65">
        <v>3031.7315436336357</v>
      </c>
      <c r="I16" s="20">
        <v>14</v>
      </c>
      <c r="J16" s="3">
        <v>5.84</v>
      </c>
      <c r="K16" s="3">
        <v>7.62</v>
      </c>
      <c r="L16" s="20">
        <v>14</v>
      </c>
      <c r="O16" s="20">
        <v>14</v>
      </c>
      <c r="P16" s="65"/>
      <c r="Q16" s="65"/>
      <c r="R16" s="65"/>
      <c r="S16" s="65"/>
      <c r="T16" s="65"/>
      <c r="U16" s="65"/>
      <c r="W16">
        <v>7</v>
      </c>
      <c r="X16" s="94">
        <v>2</v>
      </c>
      <c r="Y16">
        <v>46757</v>
      </c>
      <c r="Z16">
        <v>872</v>
      </c>
    </row>
    <row r="17" spans="2:26" ht="14" customHeight="1">
      <c r="B17" s="20">
        <v>15</v>
      </c>
      <c r="C17" s="65">
        <v>1048.2352941167499</v>
      </c>
      <c r="D17" s="73">
        <v>55.2</v>
      </c>
      <c r="E17" s="4">
        <v>180</v>
      </c>
      <c r="F17" s="20">
        <v>15</v>
      </c>
      <c r="G17" s="65">
        <v>570.70588235245259</v>
      </c>
      <c r="H17" s="65">
        <v>3686.8235294086089</v>
      </c>
      <c r="I17" s="20">
        <v>15</v>
      </c>
      <c r="J17" s="3">
        <v>5.76</v>
      </c>
      <c r="K17" s="3">
        <v>7.51</v>
      </c>
      <c r="L17" s="20">
        <v>15</v>
      </c>
      <c r="O17" s="20">
        <v>15</v>
      </c>
      <c r="P17" s="65"/>
      <c r="Q17" s="65"/>
      <c r="R17" s="65"/>
      <c r="S17" s="65"/>
      <c r="T17" s="65"/>
      <c r="U17" s="65"/>
      <c r="V17"/>
      <c r="W17">
        <v>7</v>
      </c>
      <c r="X17" s="94">
        <v>1</v>
      </c>
      <c r="Y17">
        <v>47657</v>
      </c>
      <c r="Z17">
        <v>881</v>
      </c>
    </row>
    <row r="18" spans="2:26" ht="14" customHeight="1">
      <c r="B18" s="20">
        <v>16</v>
      </c>
      <c r="C18" s="65">
        <v>868.70588235294122</v>
      </c>
      <c r="D18" s="73">
        <v>56.6</v>
      </c>
      <c r="E18" s="4">
        <v>175</v>
      </c>
      <c r="F18" s="20">
        <v>16</v>
      </c>
      <c r="G18" s="65">
        <v>599.52941176470586</v>
      </c>
      <c r="H18" s="65">
        <v>3078.588235294118</v>
      </c>
      <c r="I18" s="20">
        <v>16</v>
      </c>
      <c r="J18" s="3">
        <v>5.62</v>
      </c>
      <c r="K18" s="3">
        <v>7.66</v>
      </c>
      <c r="L18" s="20">
        <v>16</v>
      </c>
      <c r="O18" s="20">
        <v>16</v>
      </c>
      <c r="P18" s="65"/>
      <c r="Q18" s="65"/>
      <c r="R18" s="65"/>
      <c r="S18" s="65"/>
      <c r="T18" s="65"/>
      <c r="U18" s="65"/>
      <c r="V18"/>
      <c r="W18">
        <v>7</v>
      </c>
      <c r="X18" s="94">
        <v>6</v>
      </c>
      <c r="Y18">
        <v>48557</v>
      </c>
      <c r="Z18">
        <v>890</v>
      </c>
    </row>
    <row r="19" spans="2:26" ht="14" customHeight="1">
      <c r="B19" s="20">
        <v>17</v>
      </c>
      <c r="C19" s="65">
        <v>938.05714286026296</v>
      </c>
      <c r="D19" s="73">
        <v>59.9</v>
      </c>
      <c r="E19" s="4">
        <v>155</v>
      </c>
      <c r="F19" s="20">
        <v>17</v>
      </c>
      <c r="G19" s="65">
        <v>565.71428571616741</v>
      </c>
      <c r="H19" s="65">
        <v>3227.6571428678781</v>
      </c>
      <c r="I19" s="20">
        <v>17</v>
      </c>
      <c r="J19" s="3">
        <v>5.58</v>
      </c>
      <c r="K19" s="3">
        <v>7.65</v>
      </c>
      <c r="L19" s="20">
        <v>17</v>
      </c>
      <c r="O19" s="20">
        <v>17</v>
      </c>
      <c r="P19" s="65"/>
      <c r="Q19" s="65"/>
      <c r="R19" s="65"/>
      <c r="S19" s="65"/>
      <c r="T19" s="65"/>
      <c r="U19" s="65"/>
      <c r="V19"/>
      <c r="W19">
        <v>7</v>
      </c>
      <c r="X19">
        <v>0</v>
      </c>
      <c r="Y19">
        <v>49457</v>
      </c>
      <c r="Z19">
        <v>899</v>
      </c>
    </row>
    <row r="20" spans="2:26" ht="14" customHeight="1">
      <c r="B20" s="20">
        <v>18</v>
      </c>
      <c r="C20" s="65">
        <v>920.62921347893121</v>
      </c>
      <c r="D20" s="73">
        <v>58.5</v>
      </c>
      <c r="E20" s="4">
        <v>240</v>
      </c>
      <c r="F20" s="20">
        <v>18</v>
      </c>
      <c r="G20" s="65">
        <v>582.471910109693</v>
      </c>
      <c r="H20" s="65">
        <v>2841.9775280768768</v>
      </c>
      <c r="I20" s="20">
        <v>18</v>
      </c>
      <c r="J20" s="3">
        <v>5.41</v>
      </c>
      <c r="K20" s="3">
        <v>7.59</v>
      </c>
      <c r="L20" s="20">
        <v>18</v>
      </c>
      <c r="O20" s="20">
        <v>18</v>
      </c>
      <c r="P20" s="65"/>
      <c r="Q20" s="65"/>
      <c r="R20" s="65"/>
      <c r="S20" s="65"/>
      <c r="T20" s="65"/>
      <c r="U20" s="65"/>
      <c r="V20"/>
      <c r="W20">
        <v>6</v>
      </c>
      <c r="X20" s="94">
        <v>27</v>
      </c>
      <c r="Y20">
        <v>50657</v>
      </c>
      <c r="Z20">
        <v>909</v>
      </c>
    </row>
    <row r="21" spans="2:26" ht="14" customHeight="1">
      <c r="B21" s="20">
        <v>19</v>
      </c>
      <c r="C21" s="65">
        <v>541.43999999999994</v>
      </c>
      <c r="D21" s="73"/>
      <c r="E21" s="4"/>
      <c r="F21" s="20">
        <v>19</v>
      </c>
      <c r="G21" s="65">
        <v>407.04</v>
      </c>
      <c r="H21" s="65">
        <v>1816.3200000000002</v>
      </c>
      <c r="I21" s="20">
        <v>19</v>
      </c>
      <c r="J21" s="3">
        <v>5.87</v>
      </c>
      <c r="K21" s="3">
        <v>7.47</v>
      </c>
      <c r="L21" s="20">
        <v>19</v>
      </c>
      <c r="O21" s="20">
        <v>19</v>
      </c>
      <c r="P21" s="65"/>
      <c r="Q21" s="65"/>
      <c r="R21" s="65"/>
      <c r="S21" s="65"/>
      <c r="T21" s="65"/>
      <c r="U21" s="65"/>
      <c r="V21"/>
      <c r="W21">
        <v>4</v>
      </c>
      <c r="X21">
        <v>0</v>
      </c>
      <c r="Y21">
        <v>51057</v>
      </c>
      <c r="Z21">
        <v>914</v>
      </c>
    </row>
    <row r="22" spans="2:26" ht="14" customHeight="1">
      <c r="B22" s="20">
        <v>20</v>
      </c>
      <c r="C22" s="65">
        <v>690.57220708589261</v>
      </c>
      <c r="D22" s="73">
        <v>55.4</v>
      </c>
      <c r="E22" s="4">
        <v>50</v>
      </c>
      <c r="F22" s="20">
        <v>20</v>
      </c>
      <c r="G22" s="65">
        <v>418.85558583192631</v>
      </c>
      <c r="H22" s="65">
        <v>1673.4604904666655</v>
      </c>
      <c r="I22" s="20">
        <v>20</v>
      </c>
      <c r="J22" s="3">
        <v>5.74</v>
      </c>
      <c r="K22" s="3">
        <v>7.77</v>
      </c>
      <c r="L22" s="20">
        <v>20</v>
      </c>
      <c r="M22" s="5">
        <v>2.5499999999999998</v>
      </c>
      <c r="N22" s="5">
        <v>0.16</v>
      </c>
      <c r="O22" s="20">
        <v>20</v>
      </c>
      <c r="P22" s="65">
        <v>10125</v>
      </c>
      <c r="Q22" s="65">
        <v>2625</v>
      </c>
      <c r="R22" s="65">
        <v>6700</v>
      </c>
      <c r="S22" s="65">
        <v>9900</v>
      </c>
      <c r="T22" s="65">
        <v>8150</v>
      </c>
      <c r="U22" s="65">
        <v>1325</v>
      </c>
      <c r="V22"/>
      <c r="W22">
        <v>5</v>
      </c>
      <c r="X22" s="94">
        <v>1</v>
      </c>
      <c r="Y22">
        <v>51757</v>
      </c>
      <c r="Z22">
        <v>919</v>
      </c>
    </row>
    <row r="23" spans="2:26" ht="14" customHeight="1">
      <c r="B23" s="20">
        <v>21</v>
      </c>
      <c r="C23" s="65"/>
      <c r="D23" s="73">
        <v>54.5</v>
      </c>
      <c r="E23" s="4">
        <v>120</v>
      </c>
      <c r="F23" s="20">
        <v>21</v>
      </c>
      <c r="G23" s="65">
        <v>410.02865329571023</v>
      </c>
      <c r="H23" s="65">
        <v>1559.6561604606636</v>
      </c>
      <c r="I23" s="20">
        <v>21</v>
      </c>
      <c r="L23" s="20">
        <v>21</v>
      </c>
      <c r="O23" s="20">
        <v>21</v>
      </c>
      <c r="P23" s="65"/>
      <c r="Q23" s="65"/>
      <c r="R23" s="65"/>
      <c r="S23" s="65"/>
      <c r="T23" s="65"/>
      <c r="U23" s="65"/>
      <c r="V23"/>
      <c r="W23">
        <v>10</v>
      </c>
      <c r="X23" s="94">
        <v>3</v>
      </c>
      <c r="Y23">
        <v>52857</v>
      </c>
      <c r="Z23">
        <v>928</v>
      </c>
    </row>
    <row r="24" spans="2:26" ht="14" customHeight="1">
      <c r="B24" s="20">
        <v>22</v>
      </c>
      <c r="C24" s="65">
        <v>529.16905444201086</v>
      </c>
      <c r="D24" s="73">
        <v>56.9</v>
      </c>
      <c r="E24" s="4">
        <v>120</v>
      </c>
      <c r="F24" s="20">
        <v>22</v>
      </c>
      <c r="G24" s="65">
        <v>449.6326530601562</v>
      </c>
      <c r="H24" s="65">
        <v>1857.3061224445669</v>
      </c>
      <c r="I24" s="20">
        <v>22</v>
      </c>
      <c r="J24" s="3">
        <v>5.69</v>
      </c>
      <c r="K24" s="3">
        <v>7.59</v>
      </c>
      <c r="L24" s="20">
        <v>22</v>
      </c>
      <c r="O24" s="20">
        <v>22</v>
      </c>
      <c r="P24" s="65"/>
      <c r="Q24" s="65"/>
      <c r="R24" s="65"/>
      <c r="S24" s="65"/>
      <c r="T24" s="65"/>
      <c r="U24" s="65"/>
      <c r="V24"/>
      <c r="W24">
        <v>8</v>
      </c>
      <c r="X24" s="94">
        <v>5</v>
      </c>
      <c r="Y24">
        <v>53357</v>
      </c>
      <c r="Z24">
        <v>933</v>
      </c>
    </row>
    <row r="25" spans="2:26" ht="14" customHeight="1">
      <c r="B25" s="20">
        <v>23</v>
      </c>
      <c r="C25" s="65">
        <v>543.67346938646347</v>
      </c>
      <c r="D25" s="73">
        <v>56</v>
      </c>
      <c r="E25" s="4">
        <v>100</v>
      </c>
      <c r="F25" s="20">
        <v>23</v>
      </c>
      <c r="G25" s="65">
        <v>501.80338983090451</v>
      </c>
      <c r="H25" s="65">
        <v>2150.725423730511</v>
      </c>
      <c r="I25" s="20">
        <v>23</v>
      </c>
      <c r="J25" s="3">
        <v>5.6</v>
      </c>
      <c r="K25" s="3">
        <v>7.57</v>
      </c>
      <c r="L25" s="20">
        <v>23</v>
      </c>
      <c r="O25" s="20">
        <v>23</v>
      </c>
      <c r="P25" s="65"/>
      <c r="Q25" s="65"/>
      <c r="R25" s="65"/>
      <c r="S25" s="65"/>
      <c r="T25" s="65"/>
      <c r="U25" s="65"/>
      <c r="V25"/>
      <c r="W25">
        <v>9</v>
      </c>
      <c r="X25">
        <v>0</v>
      </c>
      <c r="Y25">
        <v>54057</v>
      </c>
      <c r="Z25">
        <v>940</v>
      </c>
    </row>
    <row r="26" spans="2:26" ht="14" customHeight="1">
      <c r="B26" s="20">
        <v>24</v>
      </c>
      <c r="C26" s="65">
        <v>662.88813559374353</v>
      </c>
      <c r="D26" s="73">
        <v>57.2</v>
      </c>
      <c r="E26" s="4">
        <v>95</v>
      </c>
      <c r="F26" s="20">
        <v>24</v>
      </c>
      <c r="G26" s="65">
        <v>523.0812720839449</v>
      </c>
      <c r="H26" s="65">
        <v>1950.86925794732</v>
      </c>
      <c r="I26" s="20">
        <v>24</v>
      </c>
      <c r="J26" s="3">
        <v>5.69</v>
      </c>
      <c r="K26" s="3">
        <v>7.47</v>
      </c>
      <c r="L26" s="20">
        <v>24</v>
      </c>
      <c r="O26" s="20">
        <v>24</v>
      </c>
      <c r="P26" s="65"/>
      <c r="Q26" s="65"/>
      <c r="R26" s="65"/>
      <c r="S26" s="65"/>
      <c r="T26" s="65"/>
      <c r="U26" s="65"/>
      <c r="V26"/>
      <c r="W26">
        <v>8</v>
      </c>
      <c r="X26">
        <v>0</v>
      </c>
      <c r="Y26">
        <v>54657</v>
      </c>
      <c r="Z26">
        <v>946</v>
      </c>
    </row>
    <row r="27" spans="2:26" ht="14" customHeight="1">
      <c r="B27" s="20">
        <v>25</v>
      </c>
      <c r="C27" s="65">
        <v>565.82332155383938</v>
      </c>
      <c r="D27" s="73">
        <v>59.2</v>
      </c>
      <c r="E27" s="4">
        <v>150</v>
      </c>
      <c r="F27" s="20">
        <v>25</v>
      </c>
      <c r="G27" s="65">
        <v>575.99999999952274</v>
      </c>
      <c r="H27" s="65">
        <v>2049.8220640552408</v>
      </c>
      <c r="I27" s="20">
        <v>25</v>
      </c>
      <c r="J27" s="3">
        <v>5.73</v>
      </c>
      <c r="K27" s="3">
        <v>7.43</v>
      </c>
      <c r="L27" s="20">
        <v>25</v>
      </c>
      <c r="O27" s="20">
        <v>25</v>
      </c>
      <c r="P27" s="65"/>
      <c r="Q27" s="65"/>
      <c r="R27" s="65"/>
      <c r="S27" s="65"/>
      <c r="T27" s="65"/>
      <c r="U27" s="65"/>
      <c r="V27"/>
      <c r="W27">
        <v>8</v>
      </c>
      <c r="X27">
        <v>0</v>
      </c>
      <c r="Y27">
        <v>55257</v>
      </c>
      <c r="Z27">
        <v>952</v>
      </c>
    </row>
    <row r="28" spans="2:26" ht="14" customHeight="1">
      <c r="B28" s="20">
        <v>26</v>
      </c>
      <c r="C28" s="65">
        <v>598.54804270413035</v>
      </c>
      <c r="D28" s="73">
        <v>57.2</v>
      </c>
      <c r="E28" s="4">
        <v>155</v>
      </c>
      <c r="F28" s="20">
        <v>26</v>
      </c>
      <c r="G28" s="65">
        <v>590.02597402552806</v>
      </c>
      <c r="H28" s="65">
        <v>2103.8961038945135</v>
      </c>
      <c r="I28" s="20">
        <v>26</v>
      </c>
      <c r="L28" s="20">
        <v>26</v>
      </c>
      <c r="O28" s="20">
        <v>26</v>
      </c>
      <c r="P28" s="65"/>
      <c r="Q28" s="65"/>
      <c r="R28" s="65"/>
      <c r="S28" s="65"/>
      <c r="T28" s="65"/>
      <c r="U28" s="65"/>
      <c r="V28"/>
      <c r="W28">
        <v>11</v>
      </c>
      <c r="X28">
        <v>0</v>
      </c>
      <c r="Y28">
        <v>55857</v>
      </c>
      <c r="Z28">
        <v>959</v>
      </c>
    </row>
    <row r="29" spans="2:26" ht="14" customHeight="1">
      <c r="B29" s="20">
        <v>27</v>
      </c>
      <c r="C29" s="65">
        <v>612.46753246706953</v>
      </c>
      <c r="D29" s="73">
        <v>57.1</v>
      </c>
      <c r="E29" s="4">
        <v>180</v>
      </c>
      <c r="F29" s="20">
        <v>27</v>
      </c>
      <c r="I29" s="20">
        <v>27</v>
      </c>
      <c r="L29" s="20">
        <v>27</v>
      </c>
      <c r="O29" s="20">
        <v>27</v>
      </c>
      <c r="P29" s="65"/>
      <c r="Q29" s="65"/>
      <c r="R29" s="65"/>
      <c r="S29" s="65"/>
      <c r="T29" s="65"/>
      <c r="U29" s="65"/>
      <c r="V29"/>
    </row>
    <row r="30" spans="2:26" ht="14" customHeight="1">
      <c r="B30" s="20">
        <v>28</v>
      </c>
      <c r="C30" s="65" t="s">
        <v>0</v>
      </c>
      <c r="D30" s="73"/>
      <c r="E30" s="4"/>
      <c r="F30" s="20">
        <v>28</v>
      </c>
      <c r="G30" s="65" t="s">
        <v>0</v>
      </c>
      <c r="H30" s="65" t="s">
        <v>0</v>
      </c>
      <c r="I30" s="20">
        <v>28</v>
      </c>
      <c r="L30" s="20">
        <v>28</v>
      </c>
      <c r="O30" s="20">
        <v>28</v>
      </c>
      <c r="P30" s="65"/>
      <c r="Q30" s="65"/>
      <c r="R30" s="65"/>
      <c r="S30" s="65"/>
      <c r="T30" s="65"/>
      <c r="U30" s="65"/>
      <c r="V30"/>
    </row>
    <row r="31" spans="2:26">
      <c r="B31" s="20">
        <v>29</v>
      </c>
      <c r="C31" s="65">
        <v>1478.4</v>
      </c>
      <c r="D31" s="73">
        <v>57.7</v>
      </c>
      <c r="E31" s="4">
        <v>205</v>
      </c>
      <c r="F31" s="20">
        <v>29</v>
      </c>
      <c r="G31" s="65">
        <v>1364.2666666666667</v>
      </c>
      <c r="H31" s="65">
        <v>5085.8666666666668</v>
      </c>
      <c r="I31" s="20">
        <v>29</v>
      </c>
      <c r="J31" s="3">
        <v>6.17</v>
      </c>
      <c r="K31" s="3">
        <v>7.67</v>
      </c>
      <c r="L31" s="20">
        <v>29</v>
      </c>
      <c r="O31" s="20">
        <v>29</v>
      </c>
      <c r="P31" s="65"/>
      <c r="Q31" s="65"/>
      <c r="R31" s="65"/>
      <c r="S31" s="65"/>
      <c r="T31" s="65"/>
      <c r="U31" s="65"/>
      <c r="V31"/>
      <c r="W31">
        <v>15</v>
      </c>
      <c r="X31">
        <v>0</v>
      </c>
      <c r="Y31">
        <v>57257</v>
      </c>
      <c r="Z31">
        <v>973</v>
      </c>
    </row>
    <row r="32" spans="2:26">
      <c r="B32" s="20">
        <v>30</v>
      </c>
      <c r="C32" s="65">
        <v>719.5151515151515</v>
      </c>
      <c r="D32" s="73">
        <v>56.4</v>
      </c>
      <c r="E32" s="4">
        <v>185</v>
      </c>
      <c r="F32" s="20">
        <v>30</v>
      </c>
      <c r="G32" s="65">
        <v>654.5454545454545</v>
      </c>
      <c r="H32" s="65">
        <v>2447.5151515151515</v>
      </c>
      <c r="I32" s="20">
        <v>30</v>
      </c>
      <c r="K32" s="3">
        <v>7.63</v>
      </c>
      <c r="L32" s="20">
        <v>30</v>
      </c>
      <c r="O32" s="20">
        <v>30</v>
      </c>
      <c r="P32" s="65"/>
      <c r="Q32" s="65"/>
      <c r="R32" s="65"/>
      <c r="S32" s="65"/>
      <c r="T32" s="65"/>
      <c r="U32" s="65"/>
      <c r="V32"/>
      <c r="W32">
        <v>7</v>
      </c>
      <c r="X32">
        <v>0</v>
      </c>
      <c r="Y32">
        <v>58057</v>
      </c>
      <c r="Z32">
        <v>980</v>
      </c>
    </row>
    <row r="33" spans="2:28">
      <c r="B33" s="20">
        <v>31</v>
      </c>
      <c r="C33" s="65">
        <v>761.6</v>
      </c>
      <c r="D33" s="73">
        <v>55.2</v>
      </c>
      <c r="E33" s="4">
        <v>150</v>
      </c>
      <c r="F33" s="17">
        <v>31</v>
      </c>
      <c r="G33" s="65">
        <v>680.2285714285714</v>
      </c>
      <c r="H33" s="65">
        <v>2748.3428571428572</v>
      </c>
      <c r="I33" s="20">
        <v>31</v>
      </c>
      <c r="L33" s="20">
        <v>31</v>
      </c>
      <c r="O33" s="17">
        <v>31</v>
      </c>
      <c r="W33">
        <v>9</v>
      </c>
      <c r="X33">
        <v>0</v>
      </c>
      <c r="Y33">
        <v>58857</v>
      </c>
      <c r="Z33">
        <v>989</v>
      </c>
    </row>
    <row r="34" spans="2:28">
      <c r="B34" s="20"/>
      <c r="C34" s="65"/>
      <c r="D34" s="73"/>
      <c r="E34" s="4"/>
      <c r="F34" s="17"/>
      <c r="I34" s="20"/>
      <c r="L34" s="20"/>
      <c r="O34" s="17"/>
    </row>
    <row r="35" spans="2:28" s="7" customFormat="1">
      <c r="B35" s="7" t="s">
        <v>22</v>
      </c>
      <c r="C35" s="67">
        <f>AVERAGE(C3:C34)</f>
        <v>814.8262023635076</v>
      </c>
      <c r="D35" s="13">
        <f>AVERAGE(D3:D34)</f>
        <v>56.461538461538467</v>
      </c>
      <c r="E35" s="75">
        <f>AVERAGE(E3:E34)</f>
        <v>167.88461538461539</v>
      </c>
      <c r="F35" s="67"/>
      <c r="G35" s="67">
        <f>AVERAGE(G3:G33)</f>
        <v>593.90258218843553</v>
      </c>
      <c r="H35" s="67">
        <f>AVERAGE(H3:H34)</f>
        <v>2981.432584021361</v>
      </c>
      <c r="I35" s="8"/>
      <c r="J35" s="14">
        <f>AVERAGE(J3:J34)</f>
        <v>5.7304545454545455</v>
      </c>
      <c r="K35" s="14">
        <f>AVERAGE(K3:K34)</f>
        <v>7.6426086956521742</v>
      </c>
      <c r="L35" s="3"/>
      <c r="M35" s="3"/>
      <c r="N35" s="15">
        <f>AVERAGE(N3:N30)</f>
        <v>0.155</v>
      </c>
      <c r="O35" s="18" t="s">
        <v>22</v>
      </c>
      <c r="P35" s="78">
        <f>AVERAGE(P3:P30)</f>
        <v>10625</v>
      </c>
      <c r="Q35" s="78" t="s">
        <v>0</v>
      </c>
      <c r="R35" s="78">
        <f>AVERAGE(R3:R30)</f>
        <v>8037.5</v>
      </c>
      <c r="S35" s="78">
        <f>AVERAGE(S3:S30)</f>
        <v>10800</v>
      </c>
      <c r="T35" s="78">
        <f>AVERAGE(T3:T30)</f>
        <v>8925</v>
      </c>
      <c r="U35" s="78">
        <f>AVERAGE(U3:U30)</f>
        <v>1412.5</v>
      </c>
      <c r="V35" s="16"/>
      <c r="Y35"/>
      <c r="Z35"/>
      <c r="AA35"/>
      <c r="AB35"/>
    </row>
    <row r="36" spans="2:28" s="7" customFormat="1">
      <c r="B36" s="7" t="s">
        <v>23</v>
      </c>
      <c r="C36" s="67">
        <f>STDEV(C3:C34)</f>
        <v>262.00813580744858</v>
      </c>
      <c r="D36" s="13">
        <f>STDEV(D3:D34)</f>
        <v>1.4678084134046714</v>
      </c>
      <c r="E36" s="75">
        <f>STDEV(E3:E34)</f>
        <v>55.428748441996731</v>
      </c>
      <c r="F36" s="67"/>
      <c r="G36" s="67">
        <f>STDEV(G3:G33)</f>
        <v>176.02856233556261</v>
      </c>
      <c r="H36" s="67">
        <f>STDEV(H3:H34)</f>
        <v>1799.730880800483</v>
      </c>
      <c r="I36" s="8"/>
      <c r="J36" s="14">
        <f>STDEV(J3:J34)</f>
        <v>0.1802769634473122</v>
      </c>
      <c r="K36" s="14">
        <f>STDEV(K3:K34)</f>
        <v>0.10109479760485601</v>
      </c>
      <c r="L36" s="3"/>
      <c r="M36" s="3"/>
      <c r="N36" s="15">
        <f>STDEV(N3:N30)</f>
        <v>7.0710678118654814E-3</v>
      </c>
      <c r="O36" s="18" t="s">
        <v>23</v>
      </c>
      <c r="P36" s="78">
        <f>STDEV(P3:P30)</f>
        <v>707.10678118654755</v>
      </c>
      <c r="Q36" s="78" t="s">
        <v>0</v>
      </c>
      <c r="R36" s="78">
        <f>STDEV(R3:R30)</f>
        <v>1891.5106396740146</v>
      </c>
      <c r="S36" s="78">
        <f>STDEV(S3:S30)</f>
        <v>1272.7922061357856</v>
      </c>
      <c r="T36" s="78">
        <f>STDEV(T3:T30)</f>
        <v>1096.0155108391486</v>
      </c>
      <c r="U36" s="78">
        <f>STDEV(U3:U30)</f>
        <v>123.74368670764582</v>
      </c>
      <c r="V36" s="16"/>
      <c r="Y36"/>
      <c r="Z36"/>
      <c r="AA36"/>
      <c r="AB36"/>
    </row>
    <row r="37" spans="2:28">
      <c r="F37" s="65"/>
      <c r="G37"/>
      <c r="H37" s="3"/>
      <c r="I37" s="3"/>
      <c r="L37" s="5"/>
      <c r="M37"/>
      <c r="N37" s="66"/>
      <c r="O37" s="66"/>
      <c r="T37" s="6"/>
      <c r="U37"/>
      <c r="V37"/>
    </row>
    <row r="38" spans="2:28">
      <c r="W38" s="7"/>
      <c r="X38" s="7"/>
      <c r="Y38" s="7"/>
      <c r="Z38" s="7"/>
    </row>
    <row r="39" spans="2:28">
      <c r="W39" s="7"/>
      <c r="X39" s="7"/>
      <c r="Y39" s="7"/>
      <c r="Z39" s="7"/>
    </row>
  </sheetData>
  <pageMargins left="0.75" right="0.75" top="1" bottom="1" header="0.5" footer="0.5"/>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workbookViewId="0">
      <selection activeCell="Q5" sqref="Q5"/>
    </sheetView>
  </sheetViews>
  <sheetFormatPr baseColWidth="10" defaultRowHeight="15" x14ac:dyDescent="0"/>
  <cols>
    <col min="1" max="1" width="11.6640625" customWidth="1"/>
    <col min="2" max="2" width="6.33203125" customWidth="1"/>
    <col min="3" max="3" width="10.83203125" style="66"/>
    <col min="4" max="4" width="10.83203125" style="2"/>
    <col min="5" max="5" width="10.83203125" style="22"/>
    <col min="6" max="6" width="4.6640625" style="2" customWidth="1"/>
    <col min="7" max="8" width="10.83203125" style="65"/>
    <col min="9" max="9" width="5" customWidth="1"/>
    <col min="10" max="10" width="10.6640625" style="3" customWidth="1"/>
    <col min="11" max="11" width="8" style="3" customWidth="1"/>
    <col min="12" max="12" width="4.6640625" style="22" customWidth="1"/>
    <col min="13" max="14" width="10.83203125" style="5"/>
    <col min="15" max="15" width="5.1640625" customWidth="1"/>
    <col min="16" max="18" width="10.83203125" style="66"/>
    <col min="19" max="21" width="8.6640625" style="66" customWidth="1"/>
    <col min="22" max="22" width="5.5" style="6" customWidth="1"/>
    <col min="23" max="24" width="9.83203125" customWidth="1"/>
  </cols>
  <sheetData>
    <row r="1" spans="1:26" s="9" customFormat="1" ht="18">
      <c r="A1" s="9" t="s">
        <v>107</v>
      </c>
      <c r="C1" s="63"/>
      <c r="D1" s="12"/>
      <c r="E1" s="19"/>
      <c r="F1" s="12"/>
      <c r="G1" s="70"/>
      <c r="H1" s="70"/>
      <c r="J1" s="72"/>
      <c r="K1" s="72"/>
      <c r="L1" s="19"/>
      <c r="M1" s="68"/>
      <c r="N1" s="68"/>
      <c r="P1" s="63"/>
      <c r="Q1" s="63"/>
      <c r="R1" s="63"/>
      <c r="S1" s="63"/>
      <c r="T1" s="63"/>
      <c r="U1" s="63"/>
      <c r="V1" s="11"/>
    </row>
    <row r="2" spans="1:26" s="23" customFormat="1" ht="60">
      <c r="A2" s="23" t="s">
        <v>12</v>
      </c>
      <c r="B2" s="24" t="s">
        <v>108</v>
      </c>
      <c r="C2" s="64" t="s">
        <v>28</v>
      </c>
      <c r="D2" s="26" t="s">
        <v>9</v>
      </c>
      <c r="E2" s="74" t="s">
        <v>10</v>
      </c>
      <c r="F2" s="27" t="s">
        <v>24</v>
      </c>
      <c r="G2" s="71" t="s">
        <v>29</v>
      </c>
      <c r="H2" s="71" t="s">
        <v>30</v>
      </c>
      <c r="I2" s="27" t="s">
        <v>24</v>
      </c>
      <c r="J2" s="28" t="s">
        <v>1</v>
      </c>
      <c r="K2" s="28" t="s">
        <v>11</v>
      </c>
      <c r="L2" s="30" t="s">
        <v>24</v>
      </c>
      <c r="M2" s="69" t="s">
        <v>13</v>
      </c>
      <c r="N2" s="69" t="s">
        <v>14</v>
      </c>
      <c r="O2" s="27" t="s">
        <v>24</v>
      </c>
      <c r="P2" s="77" t="s">
        <v>15</v>
      </c>
      <c r="Q2" s="77" t="s">
        <v>16</v>
      </c>
      <c r="R2" s="77" t="s">
        <v>17</v>
      </c>
      <c r="S2" s="77" t="s">
        <v>18</v>
      </c>
      <c r="T2" s="77" t="s">
        <v>19</v>
      </c>
      <c r="U2" s="77" t="s">
        <v>20</v>
      </c>
      <c r="V2" s="32"/>
      <c r="W2" s="23" t="s">
        <v>5</v>
      </c>
      <c r="X2" s="23" t="s">
        <v>6</v>
      </c>
      <c r="Y2" s="23" t="s">
        <v>7</v>
      </c>
      <c r="Z2" s="23" t="s">
        <v>8</v>
      </c>
    </row>
    <row r="3" spans="1:26" ht="14" customHeight="1">
      <c r="A3">
        <f>H3/88.8</f>
        <v>33.310810810810814</v>
      </c>
      <c r="B3" s="20">
        <v>1</v>
      </c>
      <c r="C3" s="4">
        <v>775.38</v>
      </c>
      <c r="D3" s="80">
        <v>65.8</v>
      </c>
      <c r="E3" s="91">
        <v>84</v>
      </c>
      <c r="F3" s="20">
        <v>1</v>
      </c>
      <c r="G3" s="6">
        <v>642.5</v>
      </c>
      <c r="H3" s="6">
        <v>2958</v>
      </c>
      <c r="I3" s="20">
        <v>1</v>
      </c>
      <c r="J3" s="3">
        <v>5.04</v>
      </c>
      <c r="K3" s="3">
        <v>7.21</v>
      </c>
      <c r="L3" s="20">
        <v>1</v>
      </c>
      <c r="M3"/>
      <c r="N3" s="5">
        <f>AVERAGE([1]Alkalinity!$P$208:$P$210)</f>
        <v>0.55034605146406379</v>
      </c>
      <c r="O3" s="20">
        <v>1</v>
      </c>
      <c r="P3" s="65">
        <f>AVERAGE([1]Alkalinity!$M$211:$M$213)</f>
        <v>5216.666666666667</v>
      </c>
      <c r="Q3" s="65"/>
      <c r="R3" s="65">
        <f>AVERAGE([1]Alkalinity!$O$211:$O$213)</f>
        <v>3791.6666666666661</v>
      </c>
      <c r="S3" s="65">
        <f>AVERAGE([1]Alkalinity!$M$208:$M$210)</f>
        <v>6008.333333333333</v>
      </c>
      <c r="T3" s="65">
        <f>AVERAGE([1]Alkalinity!$N$208:$N$210)</f>
        <v>3625</v>
      </c>
      <c r="U3" s="65">
        <f>AVERAGE([1]Alkalinity!$O$208:$O$210)</f>
        <v>1991.6666666666667</v>
      </c>
      <c r="W3" s="84">
        <v>3</v>
      </c>
      <c r="X3" s="93">
        <v>22</v>
      </c>
      <c r="Y3" s="85">
        <v>394757</v>
      </c>
      <c r="Z3" s="84">
        <v>3685</v>
      </c>
    </row>
    <row r="4" spans="1:26" ht="14" customHeight="1">
      <c r="A4">
        <f t="shared" ref="A4:A9" si="0">H4/88.8</f>
        <v>70.191441441441441</v>
      </c>
      <c r="B4" s="20">
        <v>2</v>
      </c>
      <c r="C4" s="6">
        <v>1885.89</v>
      </c>
      <c r="D4" s="80">
        <v>64.599999999999994</v>
      </c>
      <c r="E4" s="91">
        <v>103</v>
      </c>
      <c r="F4" s="20">
        <v>2</v>
      </c>
      <c r="G4" s="6">
        <v>663.7</v>
      </c>
      <c r="H4" s="6">
        <v>6233</v>
      </c>
      <c r="I4" s="20">
        <v>2</v>
      </c>
      <c r="J4" s="3">
        <v>4.9800000000000004</v>
      </c>
      <c r="K4" s="3">
        <v>7.05</v>
      </c>
      <c r="L4" s="20">
        <v>2</v>
      </c>
      <c r="O4" s="20">
        <v>2</v>
      </c>
      <c r="P4" s="65"/>
      <c r="Q4" s="65"/>
      <c r="R4" s="65"/>
      <c r="S4" s="65"/>
      <c r="T4" s="65"/>
      <c r="U4" s="65"/>
      <c r="W4" s="84">
        <v>6</v>
      </c>
      <c r="X4" s="84">
        <v>0</v>
      </c>
      <c r="Y4" s="85">
        <v>396757</v>
      </c>
      <c r="Z4" s="84">
        <v>3704</v>
      </c>
    </row>
    <row r="5" spans="1:26" ht="14" customHeight="1">
      <c r="A5">
        <f t="shared" si="0"/>
        <v>67.916666666666671</v>
      </c>
      <c r="B5" s="20">
        <v>3</v>
      </c>
      <c r="C5" s="6">
        <v>1596.06</v>
      </c>
      <c r="D5" s="80">
        <v>64.5</v>
      </c>
      <c r="E5" s="91">
        <v>65</v>
      </c>
      <c r="F5" s="20">
        <v>3</v>
      </c>
      <c r="G5" s="6">
        <v>616.1</v>
      </c>
      <c r="H5" s="6">
        <v>6031</v>
      </c>
      <c r="I5" s="20">
        <v>3</v>
      </c>
      <c r="L5" s="20">
        <v>3</v>
      </c>
      <c r="O5" s="20">
        <v>3</v>
      </c>
      <c r="P5" s="65"/>
      <c r="Q5" s="65"/>
      <c r="R5" s="65"/>
      <c r="S5" s="65"/>
      <c r="T5" s="65"/>
      <c r="U5" s="65"/>
      <c r="W5" s="84">
        <v>6</v>
      </c>
      <c r="X5" s="84">
        <v>0</v>
      </c>
      <c r="Y5" s="85">
        <v>398357</v>
      </c>
      <c r="Z5" s="84">
        <v>3720</v>
      </c>
    </row>
    <row r="6" spans="1:26" ht="14" customHeight="1">
      <c r="A6">
        <f t="shared" si="0"/>
        <v>64.909909909909913</v>
      </c>
      <c r="B6" s="20">
        <v>4</v>
      </c>
      <c r="C6" s="6">
        <v>1508.72</v>
      </c>
      <c r="D6" s="80">
        <v>63.3</v>
      </c>
      <c r="E6" s="91">
        <v>63</v>
      </c>
      <c r="F6" s="20">
        <v>4</v>
      </c>
      <c r="G6" s="6">
        <v>607.9</v>
      </c>
      <c r="H6" s="6">
        <v>5764</v>
      </c>
      <c r="I6" s="20">
        <v>4</v>
      </c>
      <c r="J6" s="3">
        <v>4.87</v>
      </c>
      <c r="K6" s="3">
        <v>7.14</v>
      </c>
      <c r="L6" s="20">
        <v>4</v>
      </c>
      <c r="O6" s="20">
        <v>4</v>
      </c>
      <c r="P6" s="65"/>
      <c r="Q6" s="65"/>
      <c r="R6" s="65"/>
      <c r="S6" s="65"/>
      <c r="T6" s="65"/>
      <c r="U6" s="65"/>
      <c r="W6" s="84">
        <v>7</v>
      </c>
      <c r="X6" s="84">
        <v>0</v>
      </c>
      <c r="Y6" s="85">
        <v>399857</v>
      </c>
      <c r="Z6" s="84">
        <v>3736</v>
      </c>
    </row>
    <row r="7" spans="1:26" ht="14" customHeight="1">
      <c r="A7">
        <f t="shared" si="0"/>
        <v>69.763513513513516</v>
      </c>
      <c r="B7" s="20">
        <v>5</v>
      </c>
      <c r="C7" s="6">
        <v>1763.71</v>
      </c>
      <c r="D7" s="80">
        <v>63.5</v>
      </c>
      <c r="E7" s="91">
        <v>182</v>
      </c>
      <c r="F7" s="20">
        <v>5</v>
      </c>
      <c r="G7" s="6">
        <v>646.4</v>
      </c>
      <c r="H7" s="6">
        <v>6195</v>
      </c>
      <c r="I7" s="20">
        <v>5</v>
      </c>
      <c r="J7" s="3">
        <v>4.87</v>
      </c>
      <c r="K7" s="3">
        <v>7.22</v>
      </c>
      <c r="L7" s="20">
        <v>5</v>
      </c>
      <c r="O7" s="20">
        <v>5</v>
      </c>
      <c r="P7" s="65"/>
      <c r="Q7" s="65"/>
      <c r="R7" s="65"/>
      <c r="S7" s="65"/>
      <c r="T7" s="65"/>
      <c r="U7" s="65"/>
      <c r="W7" s="84">
        <v>7</v>
      </c>
      <c r="X7" s="84">
        <v>0</v>
      </c>
      <c r="Y7" s="85">
        <v>401657</v>
      </c>
      <c r="Z7" s="84">
        <v>3753</v>
      </c>
    </row>
    <row r="8" spans="1:26" ht="14" customHeight="1">
      <c r="A8">
        <f t="shared" si="0"/>
        <v>64.684684684684683</v>
      </c>
      <c r="B8" s="20">
        <v>6</v>
      </c>
      <c r="C8" s="6">
        <v>1892.72</v>
      </c>
      <c r="D8" s="80">
        <v>64</v>
      </c>
      <c r="E8" s="91">
        <v>174</v>
      </c>
      <c r="F8" s="20">
        <v>6</v>
      </c>
      <c r="G8" s="6">
        <v>587.1</v>
      </c>
      <c r="H8" s="6">
        <v>5744</v>
      </c>
      <c r="I8" s="20">
        <v>6</v>
      </c>
      <c r="J8" s="3">
        <v>4.8899999999999997</v>
      </c>
      <c r="K8" s="3">
        <v>7.05</v>
      </c>
      <c r="L8" s="20">
        <v>6</v>
      </c>
      <c r="O8" s="20">
        <v>6</v>
      </c>
      <c r="P8" s="65"/>
      <c r="Q8" s="65"/>
      <c r="R8" s="65"/>
      <c r="S8" s="65"/>
      <c r="T8" s="65"/>
      <c r="U8" s="65"/>
      <c r="W8" s="84">
        <v>7</v>
      </c>
      <c r="X8" s="84">
        <v>0</v>
      </c>
      <c r="Y8" s="85">
        <v>403557</v>
      </c>
      <c r="Z8" s="84">
        <v>3769</v>
      </c>
    </row>
    <row r="9" spans="1:26" ht="14" customHeight="1">
      <c r="A9">
        <f t="shared" si="0"/>
        <v>62.623873873873876</v>
      </c>
      <c r="B9" s="20">
        <v>7</v>
      </c>
      <c r="C9" s="6">
        <v>1826.14</v>
      </c>
      <c r="D9" s="80">
        <v>63.2</v>
      </c>
      <c r="E9" s="91">
        <v>200</v>
      </c>
      <c r="F9" s="20">
        <v>7</v>
      </c>
      <c r="G9" s="6">
        <v>629.20000000000005</v>
      </c>
      <c r="H9" s="6">
        <v>5561</v>
      </c>
      <c r="I9" s="20">
        <v>7</v>
      </c>
      <c r="J9" s="3">
        <v>4.8499999999999996</v>
      </c>
      <c r="K9" s="3">
        <v>7.03</v>
      </c>
      <c r="L9" s="20">
        <v>7</v>
      </c>
      <c r="O9" s="20">
        <v>7</v>
      </c>
      <c r="P9" s="65"/>
      <c r="Q9" s="65"/>
      <c r="R9" s="65"/>
      <c r="S9" s="65"/>
      <c r="T9" s="65"/>
      <c r="U9" s="65"/>
      <c r="W9" s="84">
        <v>8</v>
      </c>
      <c r="X9" s="84">
        <v>0</v>
      </c>
      <c r="Y9" s="85">
        <v>405557</v>
      </c>
      <c r="Z9" s="84">
        <v>3786</v>
      </c>
    </row>
    <row r="10" spans="1:26" ht="14" customHeight="1">
      <c r="B10" s="20">
        <v>8</v>
      </c>
      <c r="C10" s="6">
        <v>1433.2919254692067</v>
      </c>
      <c r="D10" s="80">
        <v>63.6</v>
      </c>
      <c r="E10" s="91">
        <v>188</v>
      </c>
      <c r="F10" s="20">
        <v>8</v>
      </c>
      <c r="G10" s="6">
        <v>541.11801242363185</v>
      </c>
      <c r="H10" s="6">
        <v>4842.1118012536153</v>
      </c>
      <c r="I10" s="20">
        <v>8</v>
      </c>
      <c r="J10" s="3">
        <v>5.04</v>
      </c>
      <c r="K10" s="3">
        <v>7.12</v>
      </c>
      <c r="L10" s="20">
        <v>8</v>
      </c>
      <c r="O10" s="20">
        <v>8</v>
      </c>
      <c r="P10" s="65"/>
      <c r="Q10" s="65"/>
      <c r="R10" s="65"/>
      <c r="S10" s="65"/>
      <c r="T10" s="65"/>
      <c r="U10" s="65"/>
      <c r="W10" s="84">
        <v>7</v>
      </c>
      <c r="X10" s="84">
        <v>0</v>
      </c>
      <c r="Y10" s="85">
        <v>406857</v>
      </c>
      <c r="Z10" s="84">
        <v>3799</v>
      </c>
    </row>
    <row r="11" spans="1:26" ht="14" customHeight="1">
      <c r="B11" s="20">
        <v>9</v>
      </c>
      <c r="C11" s="6">
        <v>1476.848484848485</v>
      </c>
      <c r="D11" s="80">
        <v>63.3</v>
      </c>
      <c r="E11" s="91">
        <v>190</v>
      </c>
      <c r="F11" s="20">
        <v>9</v>
      </c>
      <c r="G11" s="6">
        <v>613.81818181818176</v>
      </c>
      <c r="H11" s="6">
        <v>4706.909090909091</v>
      </c>
      <c r="I11" s="20">
        <v>9</v>
      </c>
      <c r="J11" s="3">
        <v>5.09</v>
      </c>
      <c r="K11" s="3">
        <v>7.32</v>
      </c>
      <c r="L11" s="20">
        <v>9</v>
      </c>
      <c r="N11" s="5">
        <f>AVERAGE([1]Alkalinity!$P$214:$P$215)</f>
        <v>0.52754503560955179</v>
      </c>
      <c r="O11" s="20">
        <v>9</v>
      </c>
      <c r="P11" s="65">
        <f>AVERAGE([1]Alkalinity!$M$216:$M$217)</f>
        <v>5387.5</v>
      </c>
      <c r="Q11" s="65"/>
      <c r="R11" s="65">
        <f>AVERAGE([1]Alkalinity!$O$216:$O$217)</f>
        <v>4212.5</v>
      </c>
      <c r="S11" s="65">
        <f>AVERAGE([1]Alkalinity!$M$214:$M$215)</f>
        <v>6387.5</v>
      </c>
      <c r="T11" s="65">
        <f>AVERAGE([1]Alkalinity!$N$214:$N$215)</f>
        <v>3862.5</v>
      </c>
      <c r="U11" s="65">
        <f>AVERAGE([1]Alkalinity!$O$214:$O$215)</f>
        <v>2037.5000000000002</v>
      </c>
      <c r="W11" s="84">
        <v>8</v>
      </c>
      <c r="X11" s="84">
        <v>0</v>
      </c>
      <c r="Y11" s="85">
        <v>408457</v>
      </c>
      <c r="Z11" s="84">
        <v>3813</v>
      </c>
    </row>
    <row r="12" spans="1:26" ht="14" customHeight="1">
      <c r="B12" s="20">
        <v>10</v>
      </c>
      <c r="C12" s="6">
        <v>1379.5200000032119</v>
      </c>
      <c r="D12" s="80">
        <v>62.6</v>
      </c>
      <c r="E12" s="91">
        <v>252</v>
      </c>
      <c r="F12" s="20">
        <v>10</v>
      </c>
      <c r="G12" s="6">
        <v>655.68000000152665</v>
      </c>
      <c r="H12" s="6">
        <v>3916.8000000091197</v>
      </c>
      <c r="I12" s="20">
        <v>10</v>
      </c>
      <c r="J12" s="3">
        <v>5.37</v>
      </c>
      <c r="K12" s="3">
        <v>7.15</v>
      </c>
      <c r="L12" s="20">
        <v>10</v>
      </c>
      <c r="O12" s="20">
        <v>10</v>
      </c>
      <c r="P12" s="65"/>
      <c r="Q12" s="65"/>
      <c r="R12" s="65"/>
      <c r="S12" s="65"/>
      <c r="T12" s="65"/>
      <c r="U12" s="65"/>
      <c r="W12" s="84">
        <v>8</v>
      </c>
      <c r="X12" s="84">
        <v>0</v>
      </c>
      <c r="Y12" s="85">
        <v>409857</v>
      </c>
      <c r="Z12" s="84">
        <v>3825</v>
      </c>
    </row>
    <row r="13" spans="1:26" ht="14" customHeight="1">
      <c r="B13" s="20">
        <v>11</v>
      </c>
      <c r="C13" s="6">
        <v>912.85714285728886</v>
      </c>
      <c r="D13" s="80">
        <v>62.9</v>
      </c>
      <c r="E13" s="91">
        <v>230</v>
      </c>
      <c r="F13" s="20">
        <v>11</v>
      </c>
      <c r="G13" s="6">
        <v>567.69230769239846</v>
      </c>
      <c r="H13" s="6">
        <v>3404.1758241763682</v>
      </c>
      <c r="I13" s="20">
        <v>11</v>
      </c>
      <c r="J13" s="3">
        <v>5.48</v>
      </c>
      <c r="K13" s="3">
        <v>7.06</v>
      </c>
      <c r="L13" s="20">
        <v>11</v>
      </c>
      <c r="O13" s="20">
        <v>11</v>
      </c>
      <c r="P13" s="65"/>
      <c r="Q13" s="65"/>
      <c r="R13" s="65"/>
      <c r="S13" s="65"/>
      <c r="T13" s="65"/>
      <c r="U13" s="65"/>
      <c r="W13" s="84">
        <v>7</v>
      </c>
      <c r="X13" s="84">
        <v>0</v>
      </c>
      <c r="Y13" s="85">
        <v>410857</v>
      </c>
      <c r="Z13" s="84">
        <v>3835</v>
      </c>
    </row>
    <row r="14" spans="1:26" ht="14" customHeight="1">
      <c r="B14" s="20">
        <v>12</v>
      </c>
      <c r="C14" s="6">
        <v>983.62416107228853</v>
      </c>
      <c r="D14" s="80">
        <v>60.9</v>
      </c>
      <c r="E14" s="91">
        <v>242</v>
      </c>
      <c r="F14" s="20">
        <v>12</v>
      </c>
      <c r="G14" s="6">
        <v>564.83221476421807</v>
      </c>
      <c r="H14" s="6">
        <v>3052.885906035498</v>
      </c>
      <c r="I14" s="20">
        <v>12</v>
      </c>
      <c r="J14" s="3">
        <v>5.6</v>
      </c>
      <c r="K14" s="3">
        <v>7.08</v>
      </c>
      <c r="L14" s="20">
        <v>12</v>
      </c>
      <c r="O14" s="20">
        <v>12</v>
      </c>
      <c r="P14" s="65"/>
      <c r="Q14" s="65"/>
      <c r="R14" s="65"/>
      <c r="S14" s="65"/>
      <c r="T14" s="65"/>
      <c r="U14" s="65"/>
      <c r="W14" s="84">
        <v>7</v>
      </c>
      <c r="X14" s="84">
        <v>0</v>
      </c>
      <c r="Y14" s="85">
        <v>411757</v>
      </c>
      <c r="Z14" s="84">
        <v>3843</v>
      </c>
    </row>
    <row r="15" spans="1:26" ht="14" customHeight="1">
      <c r="B15" s="20">
        <v>13</v>
      </c>
      <c r="C15" s="6">
        <v>1432.9263157859618</v>
      </c>
      <c r="D15" s="80">
        <v>58.4</v>
      </c>
      <c r="E15" s="91">
        <v>315</v>
      </c>
      <c r="F15" s="20">
        <v>13</v>
      </c>
      <c r="G15" s="6">
        <v>599.24210526168918</v>
      </c>
      <c r="H15" s="6">
        <v>3351.9157894654691</v>
      </c>
      <c r="I15" s="20">
        <v>13</v>
      </c>
      <c r="J15" s="3">
        <v>5.58</v>
      </c>
      <c r="K15" s="3">
        <v>7.13</v>
      </c>
      <c r="L15" s="20">
        <v>13</v>
      </c>
      <c r="O15" s="20">
        <v>13</v>
      </c>
      <c r="P15" s="65"/>
      <c r="Q15" s="65"/>
      <c r="R15" s="65"/>
      <c r="S15" s="65"/>
      <c r="T15" s="65"/>
      <c r="U15" s="65"/>
      <c r="W15" s="84">
        <v>7</v>
      </c>
      <c r="X15" s="84">
        <v>0</v>
      </c>
      <c r="Y15" s="85">
        <v>413257</v>
      </c>
      <c r="Z15" s="84">
        <v>3853</v>
      </c>
    </row>
    <row r="16" spans="1:26" ht="14" customHeight="1">
      <c r="B16" s="20">
        <v>14</v>
      </c>
      <c r="C16" s="6">
        <v>1457.7655928727606</v>
      </c>
      <c r="D16" s="80">
        <v>61.6</v>
      </c>
      <c r="E16" s="91">
        <v>265</v>
      </c>
      <c r="F16" s="20">
        <v>14</v>
      </c>
      <c r="G16" s="6">
        <v>603.04318026083729</v>
      </c>
      <c r="H16" s="6">
        <v>3124.7703906805414</v>
      </c>
      <c r="I16" s="20">
        <v>14</v>
      </c>
      <c r="J16" s="3">
        <v>5.58</v>
      </c>
      <c r="K16" s="3">
        <v>7.2</v>
      </c>
      <c r="L16" s="20">
        <v>14</v>
      </c>
      <c r="O16" s="20">
        <v>14</v>
      </c>
      <c r="P16" s="65"/>
      <c r="Q16" s="65"/>
      <c r="R16" s="65"/>
      <c r="S16" s="65"/>
      <c r="T16" s="65"/>
      <c r="U16" s="65"/>
      <c r="W16" s="84">
        <v>8</v>
      </c>
      <c r="X16" s="84">
        <v>0</v>
      </c>
      <c r="Y16" s="85">
        <v>414757</v>
      </c>
      <c r="Z16" s="84">
        <v>3862</v>
      </c>
    </row>
    <row r="17" spans="2:26" ht="14" customHeight="1">
      <c r="B17" s="20">
        <v>15</v>
      </c>
      <c r="C17" s="6">
        <v>1316.9145239779657</v>
      </c>
      <c r="D17" s="80">
        <v>61.1</v>
      </c>
      <c r="E17" s="91">
        <v>261</v>
      </c>
      <c r="F17" s="20">
        <v>15</v>
      </c>
      <c r="G17" s="6">
        <v>583.4051424613632</v>
      </c>
      <c r="H17" s="6">
        <v>2963.057678950423</v>
      </c>
      <c r="I17" s="20">
        <v>15</v>
      </c>
      <c r="J17" s="3">
        <v>5.57</v>
      </c>
      <c r="K17" s="3">
        <v>7.07</v>
      </c>
      <c r="L17" s="20">
        <v>15</v>
      </c>
      <c r="O17" s="20">
        <v>15</v>
      </c>
      <c r="P17" s="65"/>
      <c r="Q17" s="65"/>
      <c r="R17" s="65"/>
      <c r="S17" s="65"/>
      <c r="T17" s="65"/>
      <c r="U17" s="65"/>
      <c r="V17"/>
      <c r="W17" s="84">
        <v>7</v>
      </c>
      <c r="X17" s="84">
        <v>0</v>
      </c>
      <c r="Y17" s="85">
        <v>416057</v>
      </c>
      <c r="Z17" s="84">
        <v>3871</v>
      </c>
    </row>
    <row r="18" spans="2:26" ht="14" customHeight="1">
      <c r="B18" s="20">
        <v>16</v>
      </c>
      <c r="C18" s="6">
        <v>1285.5060728738881</v>
      </c>
      <c r="D18" s="80">
        <v>60.4</v>
      </c>
      <c r="E18" s="91">
        <v>270</v>
      </c>
      <c r="F18" s="20">
        <v>16</v>
      </c>
      <c r="G18" s="6">
        <v>583.96761133575717</v>
      </c>
      <c r="H18" s="6">
        <v>2874.1700404844751</v>
      </c>
      <c r="I18" s="20">
        <v>16</v>
      </c>
      <c r="J18" s="3">
        <v>5.59</v>
      </c>
      <c r="K18" s="3">
        <v>7.21</v>
      </c>
      <c r="L18" s="20">
        <v>16</v>
      </c>
      <c r="N18" s="5">
        <f>AVERAGE([1]Alkalinity!$P$218:$P$219)</f>
        <v>0.4653846153846154</v>
      </c>
      <c r="O18" s="20">
        <v>16</v>
      </c>
      <c r="P18" s="65">
        <f>AVERAGE([1]Alkalinity!$M$220:$M$221)</f>
        <v>6600</v>
      </c>
      <c r="Q18" s="65"/>
      <c r="R18" s="65">
        <f>AVERAGE([1]Alkalinity!$O$220:$O$221)</f>
        <v>5312.4999999999991</v>
      </c>
      <c r="S18" s="65">
        <f>AVERAGE([1]Alkalinity!$M$218:$M$219)</f>
        <v>7012.5</v>
      </c>
      <c r="T18" s="65">
        <f>AVERAGE([1]Alkalinity!$N$218:$N$219)</f>
        <v>4462.5</v>
      </c>
      <c r="U18" s="65">
        <f>AVERAGE([1]Alkalinity!$O$218:$O$219)</f>
        <v>2075</v>
      </c>
      <c r="V18"/>
      <c r="W18" s="84">
        <v>7</v>
      </c>
      <c r="X18" s="84">
        <v>0</v>
      </c>
      <c r="Y18" s="85">
        <v>417457</v>
      </c>
      <c r="Z18" s="84">
        <v>3879</v>
      </c>
    </row>
    <row r="19" spans="2:26" ht="14" customHeight="1">
      <c r="B19" s="20">
        <v>17</v>
      </c>
      <c r="C19" s="6">
        <v>1419.2805755348136</v>
      </c>
      <c r="D19" s="80">
        <v>61</v>
      </c>
      <c r="E19" s="91">
        <v>277</v>
      </c>
      <c r="F19" s="20">
        <v>17</v>
      </c>
      <c r="G19" s="6">
        <v>575.99999999807039</v>
      </c>
      <c r="H19" s="6">
        <v>3086.1582733709556</v>
      </c>
      <c r="I19" s="20">
        <v>17</v>
      </c>
      <c r="J19" s="3">
        <v>5.6</v>
      </c>
      <c r="K19" s="3">
        <v>7.18</v>
      </c>
      <c r="L19" s="20">
        <v>17</v>
      </c>
      <c r="O19" s="20">
        <v>17</v>
      </c>
      <c r="P19" s="65"/>
      <c r="Q19" s="65"/>
      <c r="R19" s="65"/>
      <c r="S19" s="65"/>
      <c r="T19" s="65"/>
      <c r="U19" s="65"/>
      <c r="V19"/>
      <c r="W19" s="84">
        <v>8</v>
      </c>
      <c r="X19" s="84">
        <v>0</v>
      </c>
      <c r="Y19" s="85">
        <v>418757</v>
      </c>
      <c r="Z19" s="84">
        <v>3888</v>
      </c>
    </row>
    <row r="20" spans="2:26" ht="14" customHeight="1">
      <c r="B20" s="20">
        <v>18</v>
      </c>
      <c r="C20" s="6">
        <v>956.51024454917069</v>
      </c>
      <c r="D20" s="80">
        <v>62.5</v>
      </c>
      <c r="E20" s="91">
        <v>240</v>
      </c>
      <c r="F20" s="20">
        <v>18</v>
      </c>
      <c r="G20" s="6">
        <v>683.35756774756669</v>
      </c>
      <c r="H20" s="6">
        <v>2779.1143423717199</v>
      </c>
      <c r="I20" s="20">
        <v>18</v>
      </c>
      <c r="J20" s="3">
        <v>5.55</v>
      </c>
      <c r="K20" s="3">
        <v>7.4</v>
      </c>
      <c r="L20" s="20">
        <v>18</v>
      </c>
      <c r="O20" s="20">
        <v>18</v>
      </c>
      <c r="P20" s="65"/>
      <c r="Q20" s="65"/>
      <c r="R20" s="65"/>
      <c r="S20" s="65"/>
      <c r="T20" s="65"/>
      <c r="U20" s="65"/>
      <c r="V20"/>
      <c r="W20" s="84">
        <v>6</v>
      </c>
      <c r="X20" s="84">
        <v>0</v>
      </c>
      <c r="Y20" s="85">
        <v>419857</v>
      </c>
      <c r="Z20" s="84">
        <v>3897</v>
      </c>
    </row>
    <row r="21" spans="2:26" ht="14" customHeight="1">
      <c r="B21" s="20">
        <v>19</v>
      </c>
      <c r="C21" s="6">
        <v>788.73867596138757</v>
      </c>
      <c r="D21" s="80">
        <v>63</v>
      </c>
      <c r="E21" s="91">
        <v>259</v>
      </c>
      <c r="F21" s="20">
        <v>19</v>
      </c>
      <c r="G21" s="6">
        <v>585.03135888739052</v>
      </c>
      <c r="H21" s="6">
        <v>3044.571428583778</v>
      </c>
      <c r="I21" s="20">
        <v>19</v>
      </c>
      <c r="J21" s="3">
        <v>5.93</v>
      </c>
      <c r="K21" s="3">
        <v>7.23</v>
      </c>
      <c r="L21" s="20">
        <v>19</v>
      </c>
      <c r="O21" s="20">
        <v>19</v>
      </c>
      <c r="P21" s="65"/>
      <c r="Q21" s="65"/>
      <c r="R21" s="65"/>
      <c r="S21" s="65"/>
      <c r="T21" s="65"/>
      <c r="U21" s="65"/>
      <c r="V21"/>
      <c r="W21" s="84">
        <v>7</v>
      </c>
      <c r="X21" s="84">
        <v>0</v>
      </c>
      <c r="Y21" s="85">
        <v>420657</v>
      </c>
      <c r="Z21" s="84">
        <v>3905</v>
      </c>
    </row>
    <row r="22" spans="2:26" ht="14" customHeight="1">
      <c r="B22" s="20">
        <v>20</v>
      </c>
      <c r="C22" s="6">
        <v>1003.8614590995801</v>
      </c>
      <c r="D22" s="80">
        <v>61.2</v>
      </c>
      <c r="E22" s="91">
        <v>233</v>
      </c>
      <c r="F22" s="20">
        <v>20</v>
      </c>
      <c r="G22" s="6">
        <v>661.10537951272556</v>
      </c>
      <c r="H22" s="6">
        <v>3415.8879882045967</v>
      </c>
      <c r="I22" s="20">
        <v>20</v>
      </c>
      <c r="J22" s="3">
        <v>5.42</v>
      </c>
      <c r="K22" s="3">
        <v>7.14</v>
      </c>
      <c r="L22" s="20">
        <v>20</v>
      </c>
      <c r="O22" s="20">
        <v>20</v>
      </c>
      <c r="P22" s="65"/>
      <c r="Q22" s="65"/>
      <c r="R22" s="65"/>
      <c r="S22" s="65"/>
      <c r="T22" s="65"/>
      <c r="U22" s="65"/>
      <c r="V22"/>
      <c r="W22" s="84">
        <v>7</v>
      </c>
      <c r="X22" s="84">
        <v>0</v>
      </c>
      <c r="Y22" s="85">
        <v>421557</v>
      </c>
      <c r="Z22" s="84">
        <v>3915</v>
      </c>
    </row>
    <row r="23" spans="2:26" ht="14" customHeight="1">
      <c r="B23" s="20">
        <v>21</v>
      </c>
      <c r="C23" s="6">
        <v>1312.7671232855778</v>
      </c>
      <c r="D23" s="80">
        <v>61.7</v>
      </c>
      <c r="E23" s="91">
        <v>216</v>
      </c>
      <c r="F23" s="20">
        <v>21</v>
      </c>
      <c r="G23" s="6">
        <v>634.19178082090639</v>
      </c>
      <c r="H23" s="6">
        <v>3191.6712328716221</v>
      </c>
      <c r="I23" s="20">
        <v>21</v>
      </c>
      <c r="J23" s="3">
        <v>5.7</v>
      </c>
      <c r="K23" s="3">
        <v>7.16</v>
      </c>
      <c r="L23" s="20">
        <v>21</v>
      </c>
      <c r="O23" s="20">
        <v>21</v>
      </c>
      <c r="P23" s="65"/>
      <c r="Q23" s="65"/>
      <c r="R23" s="65"/>
      <c r="S23" s="65"/>
      <c r="T23" s="65"/>
      <c r="U23" s="65"/>
      <c r="V23"/>
      <c r="W23" s="84">
        <v>8</v>
      </c>
      <c r="X23" s="84">
        <v>0</v>
      </c>
      <c r="Y23" s="85">
        <v>422957</v>
      </c>
      <c r="Z23" s="84">
        <v>3924</v>
      </c>
    </row>
    <row r="24" spans="2:26" ht="14" customHeight="1">
      <c r="B24" s="20">
        <v>22</v>
      </c>
      <c r="C24" s="6">
        <v>1328.4361549528912</v>
      </c>
      <c r="D24" s="80">
        <v>61.5</v>
      </c>
      <c r="E24" s="91">
        <v>198</v>
      </c>
      <c r="F24" s="20">
        <v>22</v>
      </c>
      <c r="G24" s="6">
        <v>628.06312769156898</v>
      </c>
      <c r="H24" s="6">
        <v>3374.8063127769019</v>
      </c>
      <c r="I24" s="20">
        <v>22</v>
      </c>
      <c r="J24" s="3">
        <v>5.83</v>
      </c>
      <c r="K24" s="3">
        <v>7.17</v>
      </c>
      <c r="L24" s="20">
        <v>22</v>
      </c>
      <c r="O24" s="20">
        <v>22</v>
      </c>
      <c r="P24" s="65"/>
      <c r="Q24" s="65"/>
      <c r="R24" s="65"/>
      <c r="S24" s="65"/>
      <c r="T24" s="65"/>
      <c r="U24" s="65"/>
      <c r="V24"/>
      <c r="W24" s="84">
        <v>7</v>
      </c>
      <c r="X24" s="84">
        <v>0</v>
      </c>
      <c r="Y24" s="85">
        <v>424257</v>
      </c>
      <c r="Z24" s="84">
        <v>3934</v>
      </c>
    </row>
    <row r="25" spans="2:26" ht="14" customHeight="1">
      <c r="B25" s="20">
        <v>23</v>
      </c>
      <c r="C25" s="6">
        <v>1242.7884022183523</v>
      </c>
      <c r="D25" s="80">
        <v>60.4</v>
      </c>
      <c r="E25" s="91">
        <v>197</v>
      </c>
      <c r="F25" s="20">
        <v>23</v>
      </c>
      <c r="G25" s="6">
        <v>702.67735965312124</v>
      </c>
      <c r="H25" s="6">
        <v>3007.032695860702</v>
      </c>
      <c r="I25" s="20">
        <v>23</v>
      </c>
      <c r="J25" s="3">
        <v>5.83</v>
      </c>
      <c r="K25" s="3">
        <v>7.18</v>
      </c>
      <c r="L25" s="20">
        <v>23</v>
      </c>
      <c r="O25" s="20">
        <v>23</v>
      </c>
      <c r="P25" s="65"/>
      <c r="Q25" s="65"/>
      <c r="R25" s="65"/>
      <c r="S25" s="65"/>
      <c r="T25" s="65"/>
      <c r="U25" s="65"/>
      <c r="V25"/>
      <c r="W25" s="84">
        <v>8</v>
      </c>
      <c r="X25" s="84">
        <v>0</v>
      </c>
      <c r="Y25" s="85">
        <v>425657</v>
      </c>
      <c r="Z25" s="84">
        <v>3944</v>
      </c>
    </row>
    <row r="26" spans="2:26" ht="14" customHeight="1">
      <c r="B26" s="20">
        <v>24</v>
      </c>
      <c r="C26" s="6">
        <v>1213.5080956100353</v>
      </c>
      <c r="D26" s="80">
        <v>60.1</v>
      </c>
      <c r="E26" s="91">
        <v>175</v>
      </c>
      <c r="F26" s="20">
        <v>24</v>
      </c>
      <c r="G26" s="6">
        <v>564.00925212250502</v>
      </c>
      <c r="H26" s="6">
        <v>2958.8280647765273</v>
      </c>
      <c r="I26" s="20">
        <v>24</v>
      </c>
      <c r="J26" s="3">
        <v>5.73</v>
      </c>
      <c r="K26" s="3">
        <v>7.1</v>
      </c>
      <c r="L26" s="20">
        <v>24</v>
      </c>
      <c r="O26" s="20">
        <v>24</v>
      </c>
      <c r="P26" s="65"/>
      <c r="Q26" s="65"/>
      <c r="R26" s="65"/>
      <c r="S26" s="65"/>
      <c r="T26" s="65"/>
      <c r="U26" s="65"/>
      <c r="V26"/>
      <c r="W26" s="84">
        <v>6</v>
      </c>
      <c r="X26" s="84">
        <v>0</v>
      </c>
      <c r="Y26" s="85">
        <v>426857</v>
      </c>
      <c r="Z26" s="84">
        <v>3952</v>
      </c>
    </row>
    <row r="27" spans="2:26" ht="14" customHeight="1">
      <c r="B27" s="20">
        <v>25</v>
      </c>
      <c r="C27" s="6">
        <v>1336.3522012559047</v>
      </c>
      <c r="D27" s="80">
        <v>61.3</v>
      </c>
      <c r="E27" s="91">
        <v>148</v>
      </c>
      <c r="F27" s="20">
        <v>25</v>
      </c>
      <c r="G27" s="6">
        <v>561.50943396144191</v>
      </c>
      <c r="H27" s="6">
        <v>3337.8616352152376</v>
      </c>
      <c r="I27" s="20">
        <v>25</v>
      </c>
      <c r="J27" s="3">
        <v>5.75</v>
      </c>
      <c r="K27" s="3">
        <v>7.17</v>
      </c>
      <c r="L27" s="20">
        <v>25</v>
      </c>
      <c r="O27" s="20">
        <v>25</v>
      </c>
      <c r="P27" s="65"/>
      <c r="Q27" s="65"/>
      <c r="R27" s="65"/>
      <c r="S27" s="65"/>
      <c r="T27" s="65"/>
      <c r="U27" s="65"/>
      <c r="V27"/>
      <c r="W27" s="84">
        <v>8</v>
      </c>
      <c r="X27" s="84">
        <v>0</v>
      </c>
      <c r="Y27" s="85">
        <v>428057</v>
      </c>
      <c r="Z27" s="84">
        <v>3961</v>
      </c>
    </row>
    <row r="28" spans="2:26" ht="14" customHeight="1">
      <c r="B28" s="20">
        <v>26</v>
      </c>
      <c r="C28" s="6">
        <v>1124.9408672759369</v>
      </c>
      <c r="D28" s="80">
        <v>61.3</v>
      </c>
      <c r="E28" s="91">
        <v>170</v>
      </c>
      <c r="F28" s="20">
        <v>26</v>
      </c>
      <c r="G28" s="6">
        <v>574.29697765895173</v>
      </c>
      <c r="H28" s="6">
        <v>3143.9684625382151</v>
      </c>
      <c r="I28" s="20">
        <v>26</v>
      </c>
      <c r="J28" s="3">
        <v>5.8</v>
      </c>
      <c r="L28" s="20">
        <v>26</v>
      </c>
      <c r="O28" s="20">
        <v>26</v>
      </c>
      <c r="P28" s="65"/>
      <c r="Q28" s="65"/>
      <c r="R28" s="65"/>
      <c r="S28" s="65"/>
      <c r="T28" s="65"/>
      <c r="U28" s="65"/>
      <c r="V28"/>
      <c r="W28" s="84">
        <v>7</v>
      </c>
      <c r="X28" s="84">
        <v>0</v>
      </c>
      <c r="Y28" s="85">
        <v>429257</v>
      </c>
      <c r="Z28" s="84">
        <v>3971</v>
      </c>
    </row>
    <row r="29" spans="2:26" ht="14" customHeight="1">
      <c r="B29" s="20">
        <v>27</v>
      </c>
      <c r="C29" s="6">
        <v>1246.704545454133</v>
      </c>
      <c r="D29" s="80">
        <v>60</v>
      </c>
      <c r="E29" s="91">
        <v>250</v>
      </c>
      <c r="F29" s="20">
        <v>27</v>
      </c>
      <c r="G29" s="6">
        <v>639.20454545433404</v>
      </c>
      <c r="H29" s="6">
        <v>2992.4999999990105</v>
      </c>
      <c r="I29" s="20">
        <v>27</v>
      </c>
      <c r="J29" s="3">
        <v>5.65</v>
      </c>
      <c r="K29" s="3">
        <v>7.14</v>
      </c>
      <c r="L29" s="20">
        <v>27</v>
      </c>
      <c r="N29" s="5">
        <f>AVERAGE([1]Alkalinity!$P$222:$P$223)</f>
        <v>0.43719806763285018</v>
      </c>
      <c r="O29" s="20">
        <v>27</v>
      </c>
      <c r="P29" s="65">
        <f>AVERAGE([1]Alkalinity!$M$224:$M$225)</f>
        <v>6087.5</v>
      </c>
      <c r="Q29" s="65"/>
      <c r="R29" s="65">
        <f>AVERAGE([1]Alkalinity!$O$224:$O$225)</f>
        <v>4887.5</v>
      </c>
      <c r="S29" s="65">
        <f>AVERAGE([1]Alkalinity!$M$222:$M$223)</f>
        <v>7837.5</v>
      </c>
      <c r="T29" s="65">
        <f>AVERAGE([1]Alkalinity!$N$222:$N$223)</f>
        <v>5175</v>
      </c>
      <c r="U29" s="65">
        <f>AVERAGE([1]Alkalinity!$O$222:$O$223)</f>
        <v>2262.5</v>
      </c>
      <c r="V29"/>
      <c r="W29" s="84">
        <v>7</v>
      </c>
      <c r="X29" s="84">
        <v>0</v>
      </c>
      <c r="Y29" s="85">
        <v>430997</v>
      </c>
      <c r="Z29" s="84">
        <v>3980</v>
      </c>
    </row>
    <row r="30" spans="2:26" ht="14" customHeight="1">
      <c r="B30" s="20">
        <v>28</v>
      </c>
      <c r="C30" s="6">
        <v>1534.9677419354839</v>
      </c>
      <c r="D30" s="80">
        <v>60.1</v>
      </c>
      <c r="E30" s="91">
        <v>224</v>
      </c>
      <c r="F30" s="20">
        <v>28</v>
      </c>
      <c r="G30" s="6">
        <v>582.19354838709683</v>
      </c>
      <c r="H30" s="6">
        <v>3577.8064516129029</v>
      </c>
      <c r="I30" s="20">
        <v>28</v>
      </c>
      <c r="J30" s="3">
        <v>5.69</v>
      </c>
      <c r="K30" s="3">
        <v>7.2</v>
      </c>
      <c r="L30" s="20">
        <v>28</v>
      </c>
      <c r="O30" s="20">
        <v>28</v>
      </c>
      <c r="P30" s="65"/>
      <c r="Q30" s="65"/>
      <c r="R30" s="65"/>
      <c r="S30" s="65"/>
      <c r="T30" s="65"/>
      <c r="U30" s="65"/>
      <c r="V30"/>
      <c r="W30" s="84">
        <v>7</v>
      </c>
      <c r="X30" s="84">
        <v>0</v>
      </c>
      <c r="Y30" s="85">
        <v>432057</v>
      </c>
      <c r="Z30" s="84">
        <v>3990</v>
      </c>
    </row>
    <row r="31" spans="2:26">
      <c r="B31" s="20">
        <v>29</v>
      </c>
      <c r="C31" s="6">
        <v>1727.8001388011594</v>
      </c>
      <c r="D31" s="80">
        <v>61</v>
      </c>
      <c r="E31" s="91">
        <v>147</v>
      </c>
      <c r="F31" s="20">
        <v>29</v>
      </c>
      <c r="G31" s="6">
        <v>646.55100624890122</v>
      </c>
      <c r="H31" s="6">
        <v>3759.3893129959297</v>
      </c>
      <c r="I31" s="20">
        <v>29</v>
      </c>
      <c r="J31" s="3">
        <v>5.55</v>
      </c>
      <c r="K31" s="3">
        <v>7.16</v>
      </c>
      <c r="L31" s="20">
        <v>29</v>
      </c>
      <c r="O31" s="20">
        <v>29</v>
      </c>
      <c r="P31" s="65"/>
      <c r="Q31" s="65"/>
      <c r="R31" s="65"/>
      <c r="S31" s="65"/>
      <c r="T31" s="65"/>
      <c r="U31" s="65"/>
      <c r="V31"/>
      <c r="W31" s="84">
        <v>8</v>
      </c>
      <c r="X31" s="93">
        <v>2</v>
      </c>
      <c r="Y31" s="85">
        <v>433757</v>
      </c>
      <c r="Z31" s="84">
        <v>4001</v>
      </c>
    </row>
    <row r="32" spans="2:26">
      <c r="B32" s="20">
        <v>30</v>
      </c>
      <c r="C32" s="6">
        <v>1796.1185983740138</v>
      </c>
      <c r="D32" s="80">
        <v>62.5</v>
      </c>
      <c r="E32" s="91">
        <v>137</v>
      </c>
      <c r="F32" s="20">
        <v>30</v>
      </c>
      <c r="G32" s="6">
        <v>582.21024258476939</v>
      </c>
      <c r="H32" s="6">
        <v>3795.0404312483879</v>
      </c>
      <c r="I32" s="20">
        <v>30</v>
      </c>
      <c r="J32" s="3">
        <v>5.72</v>
      </c>
      <c r="L32" s="20">
        <v>30</v>
      </c>
      <c r="O32" s="20">
        <v>30</v>
      </c>
      <c r="P32" s="65"/>
      <c r="Q32" s="65"/>
      <c r="R32" s="65"/>
      <c r="S32" s="65"/>
      <c r="T32" s="65"/>
      <c r="U32" s="65"/>
      <c r="V32"/>
      <c r="W32" s="84">
        <v>8</v>
      </c>
      <c r="X32" s="84">
        <v>0</v>
      </c>
      <c r="Y32" s="85">
        <v>435657</v>
      </c>
      <c r="Z32" s="84">
        <v>4012</v>
      </c>
    </row>
    <row r="33" spans="2:26">
      <c r="B33" s="20">
        <v>31</v>
      </c>
      <c r="C33" s="6">
        <v>2055.46</v>
      </c>
      <c r="D33" s="73">
        <v>60.9</v>
      </c>
      <c r="E33" s="4">
        <v>140</v>
      </c>
      <c r="F33" s="20">
        <v>31</v>
      </c>
      <c r="G33" s="6">
        <v>586</v>
      </c>
      <c r="H33" s="6">
        <v>4477</v>
      </c>
      <c r="I33" s="20">
        <v>31</v>
      </c>
      <c r="J33" s="3">
        <v>5.37</v>
      </c>
      <c r="K33" s="3">
        <v>7.26</v>
      </c>
      <c r="L33" s="20">
        <v>31</v>
      </c>
      <c r="O33" s="20">
        <v>31</v>
      </c>
      <c r="P33" s="65"/>
      <c r="Q33" s="65"/>
      <c r="R33" s="65"/>
      <c r="S33" s="65"/>
      <c r="T33" s="65"/>
      <c r="U33" s="65"/>
      <c r="V33"/>
      <c r="W33" s="84">
        <v>9</v>
      </c>
      <c r="X33" s="84">
        <v>0</v>
      </c>
      <c r="Y33" s="85">
        <v>437757</v>
      </c>
      <c r="Z33" s="84">
        <v>4025</v>
      </c>
    </row>
    <row r="34" spans="2:26">
      <c r="C34" s="66" t="s">
        <v>0</v>
      </c>
      <c r="F34" s="17"/>
      <c r="H34" s="65" t="s">
        <v>0</v>
      </c>
      <c r="L34" s="20"/>
      <c r="O34" s="17"/>
    </row>
    <row r="35" spans="2:26" s="7" customFormat="1">
      <c r="B35" s="7" t="s">
        <v>22</v>
      </c>
      <c r="C35" s="67">
        <f>AVERAGE(C3:C34)</f>
        <v>1387.6164207764357</v>
      </c>
      <c r="D35" s="13">
        <f>AVERAGE(D3:D33)</f>
        <v>62.00645161290322</v>
      </c>
      <c r="E35" s="75">
        <f>AVERAGE(E3:E33)</f>
        <v>196.61290322580646</v>
      </c>
      <c r="F35" s="18" t="s">
        <v>22</v>
      </c>
      <c r="G35" s="67">
        <f>AVERAGE(G3:G33)</f>
        <v>610.06775279835347</v>
      </c>
      <c r="H35" s="67">
        <f>AVERAGE(H3:H34)</f>
        <v>3892.4010694964863</v>
      </c>
      <c r="I35" s="8"/>
      <c r="J35" s="3"/>
      <c r="K35" s="3"/>
      <c r="L35" s="21"/>
      <c r="M35" s="76"/>
      <c r="N35" s="15">
        <f>AVERAGE(N3:N30)</f>
        <v>0.49511844252277032</v>
      </c>
      <c r="O35" s="18" t="s">
        <v>22</v>
      </c>
      <c r="P35" s="78">
        <f>AVERAGE(P3:P30)</f>
        <v>5822.916666666667</v>
      </c>
      <c r="Q35" s="78" t="s">
        <v>0</v>
      </c>
      <c r="R35" s="78">
        <f>AVERAGE(R3:R30)</f>
        <v>4551.0416666666661</v>
      </c>
      <c r="S35" s="78">
        <f>AVERAGE(S3:S30)</f>
        <v>6811.458333333333</v>
      </c>
      <c r="T35" s="78">
        <f>AVERAGE(T3:T30)</f>
        <v>4281.25</v>
      </c>
      <c r="U35" s="78">
        <f>AVERAGE(U3:U30)</f>
        <v>2091.666666666667</v>
      </c>
      <c r="V35" s="16"/>
    </row>
    <row r="36" spans="2:26" s="7" customFormat="1">
      <c r="B36" s="7" t="s">
        <v>23</v>
      </c>
      <c r="C36" s="67">
        <f>STDEV(C3:C34)</f>
        <v>330.96844891664142</v>
      </c>
      <c r="D36" s="13">
        <f>STDEV(D3:D33)</f>
        <v>1.6370574178223893</v>
      </c>
      <c r="E36" s="75">
        <f>STDEV(E3:E33)</f>
        <v>63.83242510373276</v>
      </c>
      <c r="F36" s="18" t="s">
        <v>23</v>
      </c>
      <c r="G36" s="67">
        <f>STDEV(G3:G33)</f>
        <v>39.895382291064053</v>
      </c>
      <c r="H36" s="67">
        <f>STDEV(H3:H34)</f>
        <v>1134.7339494303687</v>
      </c>
      <c r="I36" s="8"/>
      <c r="J36" s="14">
        <f>AVERAGE(J3:J33)</f>
        <v>5.4506666666666677</v>
      </c>
      <c r="K36" s="14">
        <f>AVERAGE(K3:K33)</f>
        <v>7.1617857142857106</v>
      </c>
      <c r="L36" s="21"/>
      <c r="M36" s="76"/>
      <c r="N36" s="15">
        <f>STDEV(N3:N30)</f>
        <v>5.2727105718212625E-2</v>
      </c>
      <c r="O36" s="18" t="s">
        <v>23</v>
      </c>
      <c r="P36" s="78">
        <f>STDEV(P3:P30)</f>
        <v>640.56995020927343</v>
      </c>
      <c r="Q36" s="78" t="s">
        <v>0</v>
      </c>
      <c r="R36" s="78">
        <f>STDEV(R3:R30)</f>
        <v>679.28488234973292</v>
      </c>
      <c r="S36" s="78">
        <f>STDEV(S3:S30)</f>
        <v>799.56856856266131</v>
      </c>
      <c r="T36" s="78">
        <f>STDEV(T3:T30)</f>
        <v>692.25627480001947</v>
      </c>
      <c r="U36" s="78">
        <f>STDEV(U3:U30)</f>
        <v>118.87785514739249</v>
      </c>
      <c r="V36" s="16"/>
    </row>
    <row r="37" spans="2:26">
      <c r="J37" s="14">
        <f>STDEV(J3:J33)</f>
        <v>0.33340390057637337</v>
      </c>
      <c r="K37" s="14">
        <f>STDEV(K3:K33)</f>
        <v>8.2509419055064537E-2</v>
      </c>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workbookViewId="0">
      <selection activeCell="E30" sqref="E30:E32"/>
    </sheetView>
  </sheetViews>
  <sheetFormatPr baseColWidth="10" defaultRowHeight="15" x14ac:dyDescent="0"/>
  <cols>
    <col min="1" max="1" width="11.6640625" customWidth="1"/>
    <col min="2" max="2" width="6.33203125" customWidth="1"/>
    <col min="3" max="3" width="10.83203125" style="66"/>
    <col min="4" max="4" width="10.83203125" style="2"/>
    <col min="5" max="5" width="10.83203125" style="22"/>
    <col min="6" max="6" width="4.6640625" style="2" customWidth="1"/>
    <col min="7" max="8" width="10.83203125" style="65"/>
    <col min="9" max="9" width="5" customWidth="1"/>
    <col min="10" max="10" width="10.6640625" style="3" customWidth="1"/>
    <col min="11" max="11" width="8" style="3" customWidth="1"/>
    <col min="12" max="12" width="4.6640625" style="22" customWidth="1"/>
    <col min="13" max="14" width="10.83203125" style="5"/>
    <col min="15" max="15" width="5.1640625" customWidth="1"/>
    <col min="16" max="18" width="10.83203125" style="66"/>
    <col min="19" max="21" width="8.6640625" style="66" customWidth="1"/>
    <col min="22" max="22" width="8.6640625" style="6" customWidth="1"/>
    <col min="23" max="24" width="9.83203125" customWidth="1"/>
    <col min="25" max="25" width="11.5" bestFit="1" customWidth="1"/>
    <col min="26" max="26" width="11" bestFit="1" customWidth="1"/>
  </cols>
  <sheetData>
    <row r="1" spans="1:26" s="9" customFormat="1" ht="18">
      <c r="A1" s="9" t="s">
        <v>109</v>
      </c>
      <c r="C1" s="63"/>
      <c r="D1" s="12"/>
      <c r="E1" s="19"/>
      <c r="F1" s="12"/>
      <c r="G1" s="70"/>
      <c r="H1" s="70"/>
      <c r="J1" s="72"/>
      <c r="K1" s="72"/>
      <c r="L1" s="19"/>
      <c r="M1" s="68"/>
      <c r="N1" s="68"/>
      <c r="P1" s="63"/>
      <c r="Q1" s="63"/>
      <c r="R1" s="63"/>
      <c r="S1" s="63"/>
      <c r="T1" s="63"/>
      <c r="U1" s="63"/>
      <c r="V1" s="11"/>
    </row>
    <row r="2" spans="1:26" s="23" customFormat="1" ht="60">
      <c r="A2" s="23" t="s">
        <v>12</v>
      </c>
      <c r="B2" s="24" t="s">
        <v>110</v>
      </c>
      <c r="C2" s="64" t="s">
        <v>28</v>
      </c>
      <c r="D2" s="26" t="s">
        <v>9</v>
      </c>
      <c r="E2" s="74" t="s">
        <v>10</v>
      </c>
      <c r="F2" s="27" t="s">
        <v>24</v>
      </c>
      <c r="G2" s="71" t="s">
        <v>29</v>
      </c>
      <c r="H2" s="71" t="s">
        <v>30</v>
      </c>
      <c r="I2" s="27" t="s">
        <v>24</v>
      </c>
      <c r="J2" s="28" t="s">
        <v>1</v>
      </c>
      <c r="K2" s="28" t="s">
        <v>11</v>
      </c>
      <c r="L2" s="30" t="s">
        <v>24</v>
      </c>
      <c r="M2" s="69" t="s">
        <v>13</v>
      </c>
      <c r="N2" s="69" t="s">
        <v>14</v>
      </c>
      <c r="O2" s="27" t="s">
        <v>24</v>
      </c>
      <c r="P2" s="77" t="s">
        <v>15</v>
      </c>
      <c r="Q2" s="77" t="s">
        <v>16</v>
      </c>
      <c r="R2" s="77" t="s">
        <v>17</v>
      </c>
      <c r="S2" s="77" t="s">
        <v>18</v>
      </c>
      <c r="T2" s="77" t="s">
        <v>19</v>
      </c>
      <c r="U2" s="77" t="s">
        <v>20</v>
      </c>
      <c r="V2" s="32"/>
      <c r="W2" s="23" t="s">
        <v>5</v>
      </c>
      <c r="X2" s="23" t="s">
        <v>6</v>
      </c>
      <c r="Y2" s="23" t="s">
        <v>7</v>
      </c>
      <c r="Z2" s="23" t="s">
        <v>8</v>
      </c>
    </row>
    <row r="3" spans="1:26" ht="14" customHeight="1">
      <c r="B3" s="20">
        <v>1</v>
      </c>
      <c r="C3" s="92">
        <v>1691.8631178692244</v>
      </c>
      <c r="D3" s="73">
        <v>64</v>
      </c>
      <c r="E3" s="4">
        <v>52</v>
      </c>
      <c r="F3" s="20">
        <v>1</v>
      </c>
      <c r="G3" s="65">
        <v>585.85551330746614</v>
      </c>
      <c r="H3" s="65">
        <v>5015.3612167255978</v>
      </c>
      <c r="I3" s="20">
        <v>1</v>
      </c>
      <c r="J3" s="3">
        <v>5.21</v>
      </c>
      <c r="K3" s="3">
        <v>7.28</v>
      </c>
      <c r="L3" s="20">
        <v>1</v>
      </c>
      <c r="O3" s="20">
        <v>1</v>
      </c>
      <c r="P3" s="65"/>
      <c r="Q3" s="65"/>
      <c r="R3" s="65"/>
      <c r="S3" s="65"/>
      <c r="T3" s="65"/>
      <c r="U3" s="65"/>
      <c r="W3" s="84">
        <v>7</v>
      </c>
      <c r="X3" s="84">
        <v>0</v>
      </c>
      <c r="Y3" s="6">
        <v>439357</v>
      </c>
      <c r="Z3" s="6">
        <v>4038</v>
      </c>
    </row>
    <row r="4" spans="1:26" ht="14" customHeight="1">
      <c r="A4" t="s">
        <v>112</v>
      </c>
      <c r="B4" s="20">
        <v>2</v>
      </c>
      <c r="C4" s="92">
        <v>2653</v>
      </c>
      <c r="D4" s="73">
        <v>64.7</v>
      </c>
      <c r="E4" s="4">
        <v>174</v>
      </c>
      <c r="F4" s="20">
        <v>2</v>
      </c>
      <c r="G4" s="65">
        <v>562</v>
      </c>
      <c r="H4" s="65">
        <v>4320</v>
      </c>
      <c r="I4" s="20">
        <v>2</v>
      </c>
      <c r="J4" s="3">
        <v>5.19</v>
      </c>
      <c r="K4" s="3">
        <v>7.12</v>
      </c>
      <c r="L4" s="20">
        <v>2</v>
      </c>
      <c r="O4" s="20">
        <v>2</v>
      </c>
      <c r="P4" s="65"/>
      <c r="Q4" s="65"/>
      <c r="R4" s="65"/>
      <c r="S4" s="65"/>
      <c r="T4" s="65"/>
      <c r="U4" s="65"/>
      <c r="W4" s="84">
        <v>8</v>
      </c>
      <c r="X4" s="84">
        <v>0</v>
      </c>
      <c r="Y4" s="6">
        <v>440457</v>
      </c>
      <c r="Z4" s="6">
        <v>4051</v>
      </c>
    </row>
    <row r="5" spans="1:26" ht="14" customHeight="1">
      <c r="A5" t="s">
        <v>113</v>
      </c>
      <c r="B5" s="20">
        <v>3</v>
      </c>
      <c r="C5" s="92">
        <v>1337.6943699715205</v>
      </c>
      <c r="D5" s="80">
        <v>64.900000000000006</v>
      </c>
      <c r="E5" s="91">
        <v>163</v>
      </c>
      <c r="F5" s="20">
        <v>3</v>
      </c>
      <c r="G5" s="65">
        <v>580.05361930222489</v>
      </c>
      <c r="H5" s="65">
        <v>5023.5924932913158</v>
      </c>
      <c r="I5" s="20">
        <v>3</v>
      </c>
      <c r="J5" s="3">
        <v>5.23</v>
      </c>
      <c r="K5" s="3">
        <v>7.16</v>
      </c>
      <c r="L5" s="20">
        <v>3</v>
      </c>
      <c r="O5" s="20">
        <v>3</v>
      </c>
      <c r="P5" s="65"/>
      <c r="Q5" s="65"/>
      <c r="R5" s="65"/>
      <c r="S5" s="65"/>
      <c r="T5" s="65"/>
      <c r="U5" s="65"/>
      <c r="W5" s="84">
        <v>8</v>
      </c>
      <c r="X5" s="84">
        <v>0</v>
      </c>
      <c r="Y5" s="6">
        <v>441857</v>
      </c>
      <c r="Z5" s="6">
        <v>4065</v>
      </c>
    </row>
    <row r="6" spans="1:26" ht="14" customHeight="1">
      <c r="B6" s="20">
        <v>4</v>
      </c>
      <c r="C6" s="92">
        <v>1258.3976261090647</v>
      </c>
      <c r="D6" s="80">
        <v>64.099999999999994</v>
      </c>
      <c r="E6" s="91">
        <v>174</v>
      </c>
      <c r="F6" s="20">
        <v>4</v>
      </c>
      <c r="G6" s="65">
        <v>568.30860533957764</v>
      </c>
      <c r="H6" s="65">
        <v>4878.694362003479</v>
      </c>
      <c r="I6" s="20">
        <v>4</v>
      </c>
      <c r="J6" s="3">
        <v>5.12</v>
      </c>
      <c r="K6" s="3">
        <v>7.04</v>
      </c>
      <c r="L6" s="20">
        <v>4</v>
      </c>
      <c r="O6" s="20">
        <v>4</v>
      </c>
      <c r="P6" s="65"/>
      <c r="Q6" s="65"/>
      <c r="R6" s="65"/>
      <c r="S6" s="65"/>
      <c r="T6" s="65"/>
      <c r="U6" s="65"/>
      <c r="W6" s="84">
        <v>7</v>
      </c>
      <c r="X6" s="84">
        <v>0</v>
      </c>
      <c r="Y6" s="6">
        <v>443057</v>
      </c>
      <c r="Z6" s="6">
        <v>4078</v>
      </c>
    </row>
    <row r="7" spans="1:26" ht="14" customHeight="1">
      <c r="A7" t="s">
        <v>114</v>
      </c>
      <c r="B7" s="20">
        <v>5</v>
      </c>
      <c r="C7" s="92">
        <v>1279.6981132103581</v>
      </c>
      <c r="D7" s="80">
        <v>64.2</v>
      </c>
      <c r="E7" s="91">
        <v>248</v>
      </c>
      <c r="F7" s="20">
        <v>5</v>
      </c>
      <c r="G7" s="65">
        <v>625.81132075609162</v>
      </c>
      <c r="H7" s="65">
        <v>4998.3396226524883</v>
      </c>
      <c r="I7" s="20">
        <v>5</v>
      </c>
      <c r="J7" s="3">
        <v>5.19</v>
      </c>
      <c r="K7" s="3">
        <v>7.06</v>
      </c>
      <c r="L7" s="20">
        <v>5</v>
      </c>
      <c r="N7" s="5">
        <v>0.45</v>
      </c>
      <c r="O7" s="20">
        <v>5</v>
      </c>
      <c r="P7" s="65">
        <v>7400</v>
      </c>
      <c r="Q7" s="65"/>
      <c r="R7" s="65">
        <v>5775</v>
      </c>
      <c r="S7" s="65">
        <v>8050</v>
      </c>
      <c r="T7" s="65">
        <v>5200</v>
      </c>
      <c r="U7" s="65">
        <v>2325</v>
      </c>
      <c r="W7" s="84">
        <v>8</v>
      </c>
      <c r="X7" s="84">
        <v>0</v>
      </c>
      <c r="Y7" s="6">
        <v>444557</v>
      </c>
      <c r="Z7" s="6">
        <v>4094</v>
      </c>
    </row>
    <row r="8" spans="1:26" ht="14" customHeight="1">
      <c r="B8" s="20">
        <v>6</v>
      </c>
      <c r="C8" s="92">
        <v>1877.6575240964571</v>
      </c>
      <c r="D8" s="80">
        <v>62.7</v>
      </c>
      <c r="E8" s="91">
        <v>234</v>
      </c>
      <c r="F8" s="20">
        <v>6</v>
      </c>
      <c r="G8" s="65">
        <v>552.94292068332265</v>
      </c>
      <c r="H8" s="65">
        <v>5366.1082283302385</v>
      </c>
      <c r="I8" s="20">
        <v>6</v>
      </c>
      <c r="J8" s="3">
        <v>5.01</v>
      </c>
      <c r="K8" s="3">
        <v>7.24</v>
      </c>
      <c r="L8" s="20">
        <v>6</v>
      </c>
      <c r="O8" s="20">
        <v>6</v>
      </c>
      <c r="P8" s="65"/>
      <c r="Q8" s="65"/>
      <c r="R8" s="65"/>
      <c r="S8" s="65"/>
      <c r="T8" s="65"/>
      <c r="U8" s="65"/>
      <c r="W8" s="84">
        <v>7</v>
      </c>
      <c r="X8" s="84">
        <v>0</v>
      </c>
      <c r="Y8" s="6">
        <v>446257</v>
      </c>
      <c r="Z8" s="6">
        <v>4108</v>
      </c>
    </row>
    <row r="9" spans="1:26" ht="14" customHeight="1">
      <c r="B9" s="20">
        <v>7</v>
      </c>
      <c r="C9" s="92">
        <v>2075.4022988477973</v>
      </c>
      <c r="D9" s="80">
        <v>61.8</v>
      </c>
      <c r="E9" s="91">
        <v>584</v>
      </c>
      <c r="F9" s="20">
        <v>7</v>
      </c>
      <c r="G9" s="65">
        <v>602.29885057390663</v>
      </c>
      <c r="H9" s="65">
        <v>5133.7931034414069</v>
      </c>
      <c r="I9" s="20">
        <v>7</v>
      </c>
      <c r="J9" s="3">
        <v>4.95</v>
      </c>
      <c r="K9" s="3">
        <v>7.58</v>
      </c>
      <c r="L9" s="20">
        <v>7</v>
      </c>
      <c r="O9" s="20">
        <v>7</v>
      </c>
      <c r="P9" s="65"/>
      <c r="Q9" s="65"/>
      <c r="R9" s="65"/>
      <c r="S9" s="65"/>
      <c r="T9" s="65"/>
      <c r="U9" s="65"/>
      <c r="W9" s="84">
        <v>9</v>
      </c>
      <c r="X9" s="84">
        <v>0</v>
      </c>
      <c r="Y9" s="6">
        <v>448457</v>
      </c>
      <c r="Z9" s="6">
        <v>4123</v>
      </c>
    </row>
    <row r="10" spans="1:26" ht="14" customHeight="1">
      <c r="B10" s="20">
        <v>8</v>
      </c>
      <c r="C10" s="92">
        <v>1418.6666666666667</v>
      </c>
      <c r="D10" s="80">
        <v>62.5</v>
      </c>
      <c r="E10" s="91">
        <v>430</v>
      </c>
      <c r="F10" s="20">
        <v>8</v>
      </c>
      <c r="G10" s="65">
        <v>580.26666666666665</v>
      </c>
      <c r="H10" s="65">
        <v>4464</v>
      </c>
      <c r="I10" s="20">
        <v>8</v>
      </c>
      <c r="J10" s="3">
        <v>5.17</v>
      </c>
      <c r="K10" s="3">
        <v>7.29</v>
      </c>
      <c r="L10" s="20">
        <v>8</v>
      </c>
      <c r="O10" s="20">
        <v>8</v>
      </c>
      <c r="P10" s="65"/>
      <c r="Q10" s="65"/>
      <c r="R10" s="65"/>
      <c r="S10" s="65"/>
      <c r="T10" s="65"/>
      <c r="U10" s="65"/>
      <c r="W10" s="84">
        <v>8</v>
      </c>
      <c r="X10" s="84">
        <v>0</v>
      </c>
      <c r="Y10" s="6">
        <v>449957</v>
      </c>
      <c r="Z10" s="6">
        <v>4136</v>
      </c>
    </row>
    <row r="11" spans="1:26" ht="14" customHeight="1">
      <c r="B11" s="20">
        <v>9</v>
      </c>
      <c r="C11" s="65">
        <v>1188.7912087913987</v>
      </c>
      <c r="D11" s="80">
        <v>62.5</v>
      </c>
      <c r="E11" s="91">
        <v>430</v>
      </c>
      <c r="F11" s="20">
        <v>9</v>
      </c>
      <c r="G11" s="92">
        <v>540.0000000000864</v>
      </c>
      <c r="H11" s="92">
        <v>4466.3736263743413</v>
      </c>
      <c r="I11" s="20">
        <v>9</v>
      </c>
      <c r="J11" s="3">
        <v>5.04</v>
      </c>
      <c r="K11" s="3">
        <v>7.02</v>
      </c>
      <c r="L11" s="20">
        <v>9</v>
      </c>
      <c r="O11" s="20">
        <v>9</v>
      </c>
      <c r="P11" s="65"/>
      <c r="Q11" s="65"/>
      <c r="R11" s="65"/>
      <c r="S11" s="65"/>
      <c r="T11" s="65"/>
      <c r="U11" s="65"/>
      <c r="W11" s="84">
        <v>7</v>
      </c>
      <c r="X11" s="84">
        <v>0</v>
      </c>
      <c r="Y11" s="6">
        <v>451157</v>
      </c>
      <c r="Z11" s="6">
        <v>4149</v>
      </c>
    </row>
    <row r="12" spans="1:26" ht="14" customHeight="1">
      <c r="A12" t="s">
        <v>115</v>
      </c>
      <c r="B12" s="20">
        <v>10</v>
      </c>
      <c r="C12" s="65">
        <v>1125.6697377748137</v>
      </c>
      <c r="D12" s="80">
        <v>61.7</v>
      </c>
      <c r="E12" s="91">
        <v>244</v>
      </c>
      <c r="F12" s="20">
        <v>10</v>
      </c>
      <c r="G12" s="92">
        <v>526.60524450752848</v>
      </c>
      <c r="H12" s="92">
        <v>4054.6562721480823</v>
      </c>
      <c r="I12" s="20">
        <v>10</v>
      </c>
      <c r="J12" s="3">
        <v>5.0999999999999996</v>
      </c>
      <c r="K12" s="3">
        <v>7.09</v>
      </c>
      <c r="L12" s="20">
        <v>10</v>
      </c>
      <c r="N12" s="5">
        <v>0.44</v>
      </c>
      <c r="O12" s="20">
        <v>10</v>
      </c>
      <c r="P12" s="65">
        <f>AVERAGE([2]Alkalinity!$M$230:$M$231)</f>
        <v>6350</v>
      </c>
      <c r="Q12" s="65"/>
      <c r="R12" s="65">
        <f>AVERAGE([2]Alkalinity!$O$230:$O$231)</f>
        <v>4962.5</v>
      </c>
      <c r="S12" s="65">
        <f>AVERAGE([2]Alkalinity!$M$228:$M$229)</f>
        <v>7437.5</v>
      </c>
      <c r="T12" s="65">
        <f>AVERAGE([2]Alkalinity!$N$228:$N$229)</f>
        <v>4937.5</v>
      </c>
      <c r="U12" s="65">
        <f>AVERAGE([2]Alkalinity!$O$228:$O$229)</f>
        <v>2162.4999999999995</v>
      </c>
      <c r="W12" s="84">
        <v>7</v>
      </c>
      <c r="X12" s="93">
        <v>10</v>
      </c>
      <c r="Y12" s="6">
        <v>452257</v>
      </c>
      <c r="Z12" s="6">
        <v>4161</v>
      </c>
    </row>
    <row r="13" spans="1:26" ht="14" customHeight="1">
      <c r="B13" s="20">
        <v>11</v>
      </c>
      <c r="C13" s="65">
        <v>1733.0458221062327</v>
      </c>
      <c r="D13" s="80">
        <v>63</v>
      </c>
      <c r="E13" s="91">
        <v>179</v>
      </c>
      <c r="F13" s="20">
        <v>11</v>
      </c>
      <c r="G13" s="65">
        <v>644.31266846502706</v>
      </c>
      <c r="H13" s="65">
        <v>4930.350404323498</v>
      </c>
      <c r="I13" s="20">
        <v>11</v>
      </c>
      <c r="J13" s="3">
        <v>5.17</v>
      </c>
      <c r="K13" s="3">
        <v>7.02</v>
      </c>
      <c r="L13" s="20">
        <v>11</v>
      </c>
      <c r="O13" s="20">
        <v>11</v>
      </c>
      <c r="P13" s="65"/>
      <c r="Q13" s="65"/>
      <c r="R13" s="65"/>
      <c r="S13" s="65"/>
      <c r="T13" s="65"/>
      <c r="U13" s="65"/>
      <c r="W13" s="84">
        <v>8</v>
      </c>
      <c r="X13" s="84">
        <v>0</v>
      </c>
      <c r="Y13" s="6">
        <v>454057</v>
      </c>
      <c r="Z13" s="6">
        <v>4175</v>
      </c>
    </row>
    <row r="14" spans="1:26" ht="14" customHeight="1">
      <c r="B14" s="20">
        <v>12</v>
      </c>
      <c r="C14" s="65">
        <v>1276.8831168811864</v>
      </c>
      <c r="D14" s="80">
        <v>64.3</v>
      </c>
      <c r="E14" s="91">
        <v>206</v>
      </c>
      <c r="F14" s="20">
        <v>12</v>
      </c>
      <c r="G14" s="65">
        <v>572.46753246666697</v>
      </c>
      <c r="H14" s="65">
        <v>4482.0779220711456</v>
      </c>
      <c r="I14" s="20">
        <v>12</v>
      </c>
      <c r="J14" s="3">
        <v>5.35</v>
      </c>
      <c r="K14" s="3">
        <v>7.17</v>
      </c>
      <c r="L14" s="20">
        <v>12</v>
      </c>
      <c r="O14" s="20">
        <v>12</v>
      </c>
      <c r="P14" s="65"/>
      <c r="Q14" s="65"/>
      <c r="R14" s="65"/>
      <c r="S14" s="65"/>
      <c r="T14" s="65"/>
      <c r="U14" s="65"/>
      <c r="W14" s="84">
        <v>7</v>
      </c>
      <c r="X14" s="84">
        <v>0</v>
      </c>
      <c r="Y14" s="6">
        <v>455357</v>
      </c>
      <c r="Z14" s="6">
        <v>4188</v>
      </c>
    </row>
    <row r="15" spans="1:26" ht="14" customHeight="1">
      <c r="B15" s="20">
        <v>13</v>
      </c>
      <c r="C15" s="65">
        <v>1271.0451786884485</v>
      </c>
      <c r="D15" s="80">
        <v>63</v>
      </c>
      <c r="E15" s="91">
        <v>201</v>
      </c>
      <c r="F15" s="20">
        <v>13</v>
      </c>
      <c r="G15" s="65">
        <v>565.1247471326792</v>
      </c>
      <c r="H15" s="65">
        <v>4533.6210384235037</v>
      </c>
      <c r="I15" s="20">
        <v>13</v>
      </c>
      <c r="J15" s="3">
        <v>5.1100000000000003</v>
      </c>
      <c r="K15" s="3">
        <v>7.01</v>
      </c>
      <c r="L15" s="20">
        <v>13</v>
      </c>
      <c r="O15" s="20">
        <v>13</v>
      </c>
      <c r="P15" s="65"/>
      <c r="Q15" s="65"/>
      <c r="R15" s="65"/>
      <c r="S15" s="65"/>
      <c r="T15" s="65"/>
      <c r="U15" s="65"/>
      <c r="W15" s="84">
        <v>9</v>
      </c>
      <c r="X15" s="84">
        <v>0</v>
      </c>
      <c r="Y15" s="6">
        <v>456657</v>
      </c>
      <c r="Z15" s="6">
        <v>4201</v>
      </c>
    </row>
    <row r="16" spans="1:26" ht="14" customHeight="1">
      <c r="B16" s="20">
        <v>14</v>
      </c>
      <c r="C16" s="65">
        <v>1524.3428571479274</v>
      </c>
      <c r="D16" s="80">
        <v>62.7</v>
      </c>
      <c r="E16" s="91">
        <v>170</v>
      </c>
      <c r="F16" s="20">
        <v>14</v>
      </c>
      <c r="G16" s="65">
        <v>551.31428571611946</v>
      </c>
      <c r="H16" s="65">
        <v>4147.2000000137941</v>
      </c>
      <c r="I16" s="20">
        <v>14</v>
      </c>
      <c r="J16" s="3">
        <v>5.04</v>
      </c>
      <c r="K16" s="3">
        <v>6.98</v>
      </c>
      <c r="L16" s="20">
        <v>14</v>
      </c>
      <c r="O16" s="20">
        <v>14</v>
      </c>
      <c r="P16" s="65"/>
      <c r="Q16" s="65"/>
      <c r="R16" s="65"/>
      <c r="S16" s="65"/>
      <c r="T16" s="65"/>
      <c r="U16" s="65"/>
      <c r="W16" s="84">
        <v>7</v>
      </c>
      <c r="X16" s="84">
        <v>0</v>
      </c>
      <c r="Y16" s="6">
        <v>458157</v>
      </c>
      <c r="Z16" s="6">
        <v>4213</v>
      </c>
    </row>
    <row r="17" spans="2:26" ht="14" customHeight="1">
      <c r="B17" s="20">
        <v>15</v>
      </c>
      <c r="C17" s="65">
        <v>1082</v>
      </c>
      <c r="D17" s="80">
        <v>62.7</v>
      </c>
      <c r="E17" s="91">
        <v>125</v>
      </c>
      <c r="F17" s="20">
        <v>15</v>
      </c>
      <c r="G17" s="65">
        <v>613</v>
      </c>
      <c r="H17" s="65">
        <v>4276</v>
      </c>
      <c r="I17" s="20">
        <v>15</v>
      </c>
      <c r="J17" s="3">
        <v>5.17</v>
      </c>
      <c r="K17" s="3">
        <v>7.1</v>
      </c>
      <c r="L17" s="20">
        <v>15</v>
      </c>
      <c r="O17" s="20">
        <v>15</v>
      </c>
      <c r="P17" s="65"/>
      <c r="Q17" s="65"/>
      <c r="R17" s="65"/>
      <c r="S17" s="65"/>
      <c r="T17" s="65"/>
      <c r="U17" s="65"/>
      <c r="V17"/>
      <c r="W17" s="84">
        <v>8</v>
      </c>
      <c r="X17" s="84">
        <v>0</v>
      </c>
      <c r="Y17" s="6">
        <v>459257</v>
      </c>
      <c r="Z17" s="6">
        <v>4225</v>
      </c>
    </row>
    <row r="18" spans="2:26" ht="14" customHeight="1">
      <c r="B18" s="20">
        <v>16</v>
      </c>
      <c r="C18" s="65">
        <v>1171.0544452066297</v>
      </c>
      <c r="D18" s="80">
        <v>63.4</v>
      </c>
      <c r="E18" s="91">
        <v>270</v>
      </c>
      <c r="F18" s="20">
        <v>16</v>
      </c>
      <c r="G18" s="65">
        <v>548.80771881293742</v>
      </c>
      <c r="H18" s="65">
        <v>4606.8090971603169</v>
      </c>
      <c r="I18" s="20">
        <v>16</v>
      </c>
      <c r="J18" s="3">
        <v>5.38</v>
      </c>
      <c r="K18" s="3">
        <v>7.08</v>
      </c>
      <c r="L18" s="20">
        <v>16</v>
      </c>
      <c r="O18" s="20">
        <v>16</v>
      </c>
      <c r="P18" s="65"/>
      <c r="Q18" s="65"/>
      <c r="R18" s="65"/>
      <c r="S18" s="65"/>
      <c r="T18" s="65"/>
      <c r="U18" s="65"/>
      <c r="V18"/>
      <c r="W18" s="84">
        <v>7</v>
      </c>
      <c r="X18" s="84">
        <v>0</v>
      </c>
      <c r="Y18" s="6">
        <v>460457</v>
      </c>
      <c r="Z18" s="6">
        <v>4238</v>
      </c>
    </row>
    <row r="19" spans="2:26" ht="14" customHeight="1">
      <c r="B19" s="20">
        <v>17</v>
      </c>
      <c r="C19" s="65">
        <v>1316.2499999995646</v>
      </c>
      <c r="D19" s="80">
        <v>63.4</v>
      </c>
      <c r="E19" s="91">
        <v>112</v>
      </c>
      <c r="F19" s="20">
        <v>17</v>
      </c>
      <c r="G19" s="65">
        <v>631.02272727251852</v>
      </c>
      <c r="H19" s="65">
        <v>5121.8181818164885</v>
      </c>
      <c r="I19" s="20">
        <v>17</v>
      </c>
      <c r="J19" s="3">
        <v>5.48</v>
      </c>
      <c r="K19" s="3">
        <v>7.05</v>
      </c>
      <c r="L19" s="20">
        <v>17</v>
      </c>
      <c r="M19" s="5">
        <f>AVERAGE([3]Alkalinity!$P$234:$P$235)</f>
        <v>13.165909090909086</v>
      </c>
      <c r="N19" s="5">
        <f>AVERAGE([3]Alkalinity!$P$232:$P$233)</f>
        <v>0.45118351434140908</v>
      </c>
      <c r="O19" s="20">
        <v>17</v>
      </c>
      <c r="P19" s="65">
        <f>AVERAGE([3]Alkalinity!$M$234:$M$235)</f>
        <v>6425</v>
      </c>
      <c r="Q19" s="65">
        <f>AVERAGE([3]Alkalinity!$N$234:$N$235)</f>
        <v>387.50000000000011</v>
      </c>
      <c r="R19" s="65">
        <f>AVERAGE([3]Alkalinity!$O$234:$O$235)</f>
        <v>4762.5</v>
      </c>
      <c r="S19" s="65">
        <f>AVERAGE([3]Alkalinity!$M$232:$M$233)</f>
        <v>7325</v>
      </c>
      <c r="T19" s="65">
        <f>AVERAGE([3]Alkalinity!$N$232:$N$233)</f>
        <v>4737.5</v>
      </c>
      <c r="U19" s="65">
        <f>AVERAGE([3]Alkalinity!$O$232:$O$233)</f>
        <v>2137.5</v>
      </c>
      <c r="V19"/>
      <c r="W19" s="84">
        <v>8</v>
      </c>
      <c r="X19" s="84">
        <v>0</v>
      </c>
      <c r="Y19" s="6">
        <v>461757</v>
      </c>
      <c r="Z19" s="6">
        <v>4252</v>
      </c>
    </row>
    <row r="20" spans="2:26" ht="14" customHeight="1">
      <c r="B20" s="20">
        <v>18</v>
      </c>
      <c r="C20" s="65">
        <v>1366.5503355747405</v>
      </c>
      <c r="D20" s="80">
        <v>64.3</v>
      </c>
      <c r="E20" s="91">
        <v>167</v>
      </c>
      <c r="F20" s="20">
        <v>18</v>
      </c>
      <c r="G20" s="65">
        <v>589.53020134412429</v>
      </c>
      <c r="H20" s="65">
        <v>5384.0536912919943</v>
      </c>
      <c r="I20" s="20">
        <v>18</v>
      </c>
      <c r="J20" s="3">
        <v>5.58</v>
      </c>
      <c r="K20" s="3">
        <v>7.18</v>
      </c>
      <c r="L20" s="20">
        <v>18</v>
      </c>
      <c r="O20" s="20">
        <v>18</v>
      </c>
      <c r="P20" s="65"/>
      <c r="Q20" s="65"/>
      <c r="R20" s="65"/>
      <c r="S20" s="65"/>
      <c r="T20" s="65"/>
      <c r="U20" s="65"/>
      <c r="V20"/>
      <c r="W20" s="84">
        <v>7</v>
      </c>
      <c r="X20" s="84">
        <v>0</v>
      </c>
      <c r="Y20" s="6">
        <v>463157</v>
      </c>
      <c r="Z20" s="6">
        <v>4268</v>
      </c>
    </row>
    <row r="21" spans="2:26" ht="14" customHeight="1">
      <c r="B21" s="20">
        <v>19</v>
      </c>
      <c r="C21" s="65">
        <v>1201.3096862202465</v>
      </c>
      <c r="D21" s="80">
        <v>63.8</v>
      </c>
      <c r="E21" s="91">
        <v>263</v>
      </c>
      <c r="F21" s="20">
        <v>19</v>
      </c>
      <c r="G21" s="65">
        <v>597.21691677997524</v>
      </c>
      <c r="H21" s="65">
        <v>4706.0300136395745</v>
      </c>
      <c r="I21" s="20">
        <v>19</v>
      </c>
      <c r="J21" s="3">
        <v>5.53</v>
      </c>
      <c r="K21" s="3">
        <v>7.37</v>
      </c>
      <c r="L21" s="20">
        <v>19</v>
      </c>
      <c r="O21" s="20">
        <v>19</v>
      </c>
      <c r="P21" s="65"/>
      <c r="Q21" s="65"/>
      <c r="R21" s="65"/>
      <c r="S21" s="65"/>
      <c r="T21" s="65"/>
      <c r="U21" s="65"/>
      <c r="V21"/>
      <c r="W21" s="84">
        <v>8</v>
      </c>
      <c r="X21" s="84">
        <v>0</v>
      </c>
      <c r="Y21" s="6">
        <v>464457</v>
      </c>
      <c r="Z21" s="6">
        <v>4282</v>
      </c>
    </row>
    <row r="22" spans="2:26" ht="14" customHeight="1">
      <c r="B22" s="20">
        <v>20</v>
      </c>
      <c r="C22" s="6">
        <v>1198.956521736096</v>
      </c>
      <c r="D22" s="80">
        <v>64.7</v>
      </c>
      <c r="E22" s="91">
        <v>192</v>
      </c>
      <c r="F22" s="20">
        <v>20</v>
      </c>
      <c r="G22" s="6">
        <v>553.04347825947002</v>
      </c>
      <c r="H22" s="6">
        <v>4655.9999999882166</v>
      </c>
      <c r="I22" s="20">
        <v>20</v>
      </c>
      <c r="J22" s="3">
        <v>5.56</v>
      </c>
      <c r="K22" s="3">
        <v>7</v>
      </c>
      <c r="L22" s="20">
        <v>20</v>
      </c>
      <c r="O22" s="20">
        <v>20</v>
      </c>
      <c r="P22" s="65"/>
      <c r="Q22" s="65"/>
      <c r="R22" s="65"/>
      <c r="S22" s="65"/>
      <c r="T22" s="65"/>
      <c r="U22" s="65"/>
      <c r="V22"/>
      <c r="W22">
        <v>7</v>
      </c>
      <c r="X22">
        <v>0</v>
      </c>
      <c r="Y22" s="6">
        <v>465557</v>
      </c>
      <c r="Z22" s="6">
        <v>4295</v>
      </c>
    </row>
    <row r="23" spans="2:26" ht="14" customHeight="1">
      <c r="B23" s="20">
        <v>21</v>
      </c>
      <c r="C23" s="6">
        <v>1213.5050847467205</v>
      </c>
      <c r="D23" s="80">
        <v>63.6</v>
      </c>
      <c r="E23" s="91">
        <v>266</v>
      </c>
      <c r="F23" s="20">
        <v>21</v>
      </c>
      <c r="G23" s="6">
        <v>590.64406779707633</v>
      </c>
      <c r="H23" s="6">
        <v>4691.9593220376019</v>
      </c>
      <c r="I23" s="20">
        <v>21</v>
      </c>
      <c r="J23" s="3">
        <v>5.34</v>
      </c>
      <c r="K23" s="3">
        <v>7.06</v>
      </c>
      <c r="L23" s="20">
        <v>21</v>
      </c>
      <c r="O23" s="20">
        <v>21</v>
      </c>
      <c r="P23" s="65"/>
      <c r="Q23" s="65"/>
      <c r="R23" s="65"/>
      <c r="S23" s="65"/>
      <c r="T23" s="65"/>
      <c r="U23" s="65"/>
      <c r="V23"/>
      <c r="W23">
        <v>7</v>
      </c>
      <c r="X23">
        <v>0</v>
      </c>
      <c r="Y23" s="6">
        <v>466857</v>
      </c>
      <c r="Z23" s="6">
        <v>4308</v>
      </c>
    </row>
    <row r="24" spans="2:26" ht="14" customHeight="1">
      <c r="B24" s="20">
        <v>22</v>
      </c>
      <c r="C24" s="6">
        <v>1057.558441557642</v>
      </c>
      <c r="D24" s="80">
        <v>63.7</v>
      </c>
      <c r="E24" s="91">
        <v>267</v>
      </c>
      <c r="F24" s="20">
        <v>22</v>
      </c>
      <c r="G24" s="6">
        <v>543.27272727231662</v>
      </c>
      <c r="H24" s="6">
        <v>4017.9740259709888</v>
      </c>
      <c r="I24" s="20">
        <v>22</v>
      </c>
      <c r="J24" s="3">
        <v>5.4</v>
      </c>
      <c r="K24" s="3">
        <v>7.12</v>
      </c>
      <c r="L24" s="20">
        <v>22</v>
      </c>
      <c r="O24" s="20">
        <v>22</v>
      </c>
      <c r="P24" s="65"/>
      <c r="Q24" s="65"/>
      <c r="R24" s="65"/>
      <c r="S24" s="65"/>
      <c r="T24" s="65"/>
      <c r="U24" s="65"/>
      <c r="V24"/>
      <c r="W24">
        <v>9</v>
      </c>
      <c r="X24">
        <v>0</v>
      </c>
      <c r="Y24" s="6">
        <v>468057</v>
      </c>
      <c r="Z24" s="6">
        <v>4321</v>
      </c>
    </row>
    <row r="25" spans="2:26" ht="14" customHeight="1">
      <c r="B25" s="20">
        <v>23</v>
      </c>
      <c r="C25" s="6">
        <v>984.1420118372007</v>
      </c>
      <c r="D25" s="80">
        <v>62.6</v>
      </c>
      <c r="E25" s="91">
        <v>283</v>
      </c>
      <c r="F25" s="20">
        <v>23</v>
      </c>
      <c r="G25" s="6">
        <v>599.64497041595666</v>
      </c>
      <c r="H25" s="6">
        <v>3789.5857988276621</v>
      </c>
      <c r="I25" s="20">
        <v>23</v>
      </c>
      <c r="J25" s="3">
        <v>5.55</v>
      </c>
      <c r="K25" s="3">
        <v>7.03</v>
      </c>
      <c r="L25" s="20">
        <v>23</v>
      </c>
      <c r="O25" s="20">
        <v>23</v>
      </c>
      <c r="P25" s="65"/>
      <c r="Q25" s="65"/>
      <c r="R25" s="65"/>
      <c r="S25" s="65"/>
      <c r="T25" s="65"/>
      <c r="U25" s="65"/>
      <c r="V25"/>
      <c r="W25">
        <v>6</v>
      </c>
      <c r="X25">
        <v>0</v>
      </c>
      <c r="Y25" s="6">
        <v>468957</v>
      </c>
      <c r="Z25" s="6">
        <v>4331</v>
      </c>
    </row>
    <row r="26" spans="2:26" ht="14" customHeight="1">
      <c r="B26" s="20">
        <v>24</v>
      </c>
      <c r="C26" s="65">
        <v>951.71270717895379</v>
      </c>
      <c r="D26" s="80">
        <v>62.8</v>
      </c>
      <c r="E26" s="91">
        <v>184</v>
      </c>
      <c r="F26" s="20">
        <v>24</v>
      </c>
      <c r="G26" s="65">
        <v>604.64088397576165</v>
      </c>
      <c r="H26" s="65">
        <v>3717.3480662851925</v>
      </c>
      <c r="I26" s="20">
        <v>24</v>
      </c>
      <c r="J26" s="3">
        <v>5.56</v>
      </c>
      <c r="K26" s="3">
        <v>7.11</v>
      </c>
      <c r="L26" s="20">
        <v>24</v>
      </c>
      <c r="N26" s="5">
        <v>0.47</v>
      </c>
      <c r="O26" s="20">
        <v>24</v>
      </c>
      <c r="P26" s="65">
        <f>AVERAGE([4]Alkalinity!$M$238:$M$239)</f>
        <v>6412.5</v>
      </c>
      <c r="Q26" s="65"/>
      <c r="R26" s="65">
        <f>AVERAGE([4]Alkalinity!$O$238:$O$239)</f>
        <v>4975</v>
      </c>
      <c r="S26" s="65">
        <f>AVERAGE([4]Alkalinity!$M$236:$M$237)</f>
        <v>8162.5000000000018</v>
      </c>
      <c r="T26" s="65">
        <f>AVERAGE([4]Alkalinity!$N$236:$N$237)</f>
        <v>5150</v>
      </c>
      <c r="U26" s="65">
        <f>AVERAGE([4]Alkalinity!$O$236:$O$237)</f>
        <v>2387.5</v>
      </c>
      <c r="V26"/>
      <c r="W26" s="6">
        <v>8</v>
      </c>
      <c r="X26" s="6">
        <v>0</v>
      </c>
      <c r="Y26" s="6">
        <v>469957</v>
      </c>
      <c r="Z26" s="6">
        <v>4342</v>
      </c>
    </row>
    <row r="27" spans="2:26" ht="14" customHeight="1">
      <c r="B27" s="20">
        <v>25</v>
      </c>
      <c r="C27" s="65">
        <v>1115.6485355637667</v>
      </c>
      <c r="D27" s="80">
        <v>62.9</v>
      </c>
      <c r="E27" s="91">
        <v>222</v>
      </c>
      <c r="F27" s="20">
        <v>25</v>
      </c>
      <c r="G27" s="65">
        <v>587.44769874419762</v>
      </c>
      <c r="H27" s="65">
        <v>4339.0794979037228</v>
      </c>
      <c r="I27" s="20">
        <v>25</v>
      </c>
      <c r="J27" s="3">
        <v>5.45</v>
      </c>
      <c r="K27" s="3">
        <v>7.02</v>
      </c>
      <c r="L27" s="20">
        <v>25</v>
      </c>
      <c r="O27" s="20">
        <v>25</v>
      </c>
      <c r="P27" s="65"/>
      <c r="Q27" s="65"/>
      <c r="R27" s="65"/>
      <c r="S27" s="65"/>
      <c r="T27" s="65"/>
      <c r="U27" s="65"/>
      <c r="V27"/>
      <c r="W27" s="6">
        <v>8</v>
      </c>
      <c r="X27" s="6">
        <v>0</v>
      </c>
      <c r="Y27" s="6">
        <v>471057</v>
      </c>
      <c r="Z27" s="6">
        <v>4354</v>
      </c>
    </row>
    <row r="28" spans="2:26" ht="14" customHeight="1">
      <c r="B28" s="20">
        <v>26</v>
      </c>
      <c r="C28" s="65">
        <v>1588.8239486874613</v>
      </c>
      <c r="D28" s="80">
        <v>63.7</v>
      </c>
      <c r="E28" s="91">
        <v>278</v>
      </c>
      <c r="F28" s="20">
        <v>26</v>
      </c>
      <c r="G28" s="65">
        <v>591.19030648835769</v>
      </c>
      <c r="H28" s="65">
        <v>5014.8538845522844</v>
      </c>
      <c r="I28" s="20">
        <v>26</v>
      </c>
      <c r="J28" s="3">
        <v>5.6</v>
      </c>
      <c r="K28" s="3">
        <v>7.18</v>
      </c>
      <c r="L28" s="20">
        <v>26</v>
      </c>
      <c r="O28" s="20">
        <v>26</v>
      </c>
      <c r="P28" s="65"/>
      <c r="Q28" s="65"/>
      <c r="R28" s="65"/>
      <c r="S28" s="65"/>
      <c r="T28" s="65"/>
      <c r="U28" s="65"/>
      <c r="V28"/>
      <c r="W28" s="6">
        <v>7</v>
      </c>
      <c r="X28" s="6">
        <v>0</v>
      </c>
      <c r="Y28" s="6">
        <v>472657</v>
      </c>
      <c r="Z28" s="6">
        <v>4368</v>
      </c>
    </row>
    <row r="29" spans="2:26" ht="14" customHeight="1">
      <c r="B29" s="20">
        <v>27</v>
      </c>
      <c r="C29" s="65">
        <v>1232.268907560614</v>
      </c>
      <c r="D29" s="80">
        <v>62.8</v>
      </c>
      <c r="E29" s="91">
        <v>289</v>
      </c>
      <c r="F29" s="20">
        <v>27</v>
      </c>
      <c r="G29" s="65">
        <v>560.67226890646612</v>
      </c>
      <c r="H29" s="65">
        <v>4861.5126050325052</v>
      </c>
      <c r="I29" s="20">
        <v>27</v>
      </c>
      <c r="J29" s="3">
        <v>5.57</v>
      </c>
      <c r="K29" s="3">
        <v>7.05</v>
      </c>
      <c r="L29" s="20">
        <v>27</v>
      </c>
      <c r="O29" s="20">
        <v>27</v>
      </c>
      <c r="P29" s="65"/>
      <c r="Q29" s="65"/>
      <c r="R29" s="65"/>
      <c r="S29" s="65"/>
      <c r="T29" s="65"/>
      <c r="U29" s="65"/>
      <c r="V29"/>
      <c r="W29" s="6">
        <v>8</v>
      </c>
      <c r="X29" s="6">
        <v>0</v>
      </c>
      <c r="Y29" s="6">
        <v>473857</v>
      </c>
      <c r="Z29" s="6">
        <v>4382</v>
      </c>
    </row>
    <row r="30" spans="2:26" ht="14" customHeight="1">
      <c r="B30" s="20">
        <v>28</v>
      </c>
      <c r="C30" s="65">
        <v>699.01016949207713</v>
      </c>
      <c r="D30" s="80">
        <v>61.1</v>
      </c>
      <c r="E30" s="91">
        <v>353</v>
      </c>
      <c r="F30" s="20">
        <v>28</v>
      </c>
      <c r="G30" s="65">
        <v>658.00677966153626</v>
      </c>
      <c r="H30" s="65">
        <v>2275.6881355950163</v>
      </c>
      <c r="I30" s="20">
        <v>28</v>
      </c>
      <c r="J30" s="3">
        <v>5.45</v>
      </c>
      <c r="K30" s="3">
        <v>7.23</v>
      </c>
      <c r="L30" s="20">
        <v>28</v>
      </c>
      <c r="O30" s="20">
        <v>28</v>
      </c>
      <c r="P30" s="65"/>
      <c r="Q30" s="65"/>
      <c r="R30" s="65"/>
      <c r="S30" s="65"/>
      <c r="T30" s="65"/>
      <c r="U30" s="65"/>
      <c r="V30"/>
      <c r="W30" s="6">
        <v>4</v>
      </c>
      <c r="X30" s="6">
        <v>24</v>
      </c>
      <c r="Y30" s="6">
        <v>474557</v>
      </c>
      <c r="Z30" s="6">
        <v>4389</v>
      </c>
    </row>
    <row r="31" spans="2:26">
      <c r="B31" s="20">
        <v>29</v>
      </c>
      <c r="C31" s="65">
        <v>1244.2816901428853</v>
      </c>
      <c r="D31" s="80">
        <v>64.400000000000006</v>
      </c>
      <c r="E31" s="91">
        <v>292</v>
      </c>
      <c r="F31" s="20">
        <v>29</v>
      </c>
      <c r="G31" s="65">
        <v>593.23943662069098</v>
      </c>
      <c r="H31" s="65">
        <v>4586.7042253596337</v>
      </c>
      <c r="I31" s="20">
        <v>29</v>
      </c>
      <c r="J31" s="3">
        <v>5.48</v>
      </c>
      <c r="K31" s="3">
        <v>7.12</v>
      </c>
      <c r="L31" s="20">
        <v>29</v>
      </c>
      <c r="O31" s="20">
        <v>29</v>
      </c>
      <c r="P31" s="65"/>
      <c r="Q31" s="65"/>
      <c r="R31" s="65"/>
      <c r="S31" s="65"/>
      <c r="T31" s="65"/>
      <c r="U31" s="65"/>
      <c r="V31"/>
      <c r="W31" s="6">
        <v>7</v>
      </c>
      <c r="X31" s="6">
        <v>0</v>
      </c>
      <c r="Y31" s="6">
        <v>475857</v>
      </c>
      <c r="Z31" s="6">
        <v>4401</v>
      </c>
    </row>
    <row r="32" spans="2:26">
      <c r="B32" s="20">
        <v>30</v>
      </c>
      <c r="C32" s="65">
        <v>1603.844522965559</v>
      </c>
      <c r="D32" s="80">
        <v>66</v>
      </c>
      <c r="E32" s="91">
        <v>229</v>
      </c>
      <c r="F32" s="20">
        <v>30</v>
      </c>
      <c r="G32" s="65">
        <v>630.95406360320203</v>
      </c>
      <c r="H32" s="65">
        <v>5132.0989399208847</v>
      </c>
      <c r="I32" s="20">
        <v>30</v>
      </c>
      <c r="J32" s="3">
        <v>5.25</v>
      </c>
      <c r="K32" s="3">
        <v>7.07</v>
      </c>
      <c r="L32" s="20">
        <v>30</v>
      </c>
      <c r="O32" s="20">
        <v>30</v>
      </c>
      <c r="P32" s="65"/>
      <c r="Q32" s="65"/>
      <c r="R32" s="65"/>
      <c r="S32" s="65"/>
      <c r="T32" s="65"/>
      <c r="U32" s="65"/>
      <c r="V32"/>
      <c r="W32" s="6">
        <v>6</v>
      </c>
      <c r="X32" s="6">
        <v>1</v>
      </c>
      <c r="Y32" s="6">
        <v>477457</v>
      </c>
      <c r="Z32" s="6">
        <v>4416</v>
      </c>
    </row>
    <row r="33" spans="2:22">
      <c r="C33" s="66" t="s">
        <v>0</v>
      </c>
      <c r="F33" s="17"/>
      <c r="H33" s="65" t="s">
        <v>0</v>
      </c>
      <c r="L33" s="20"/>
      <c r="O33" s="17"/>
    </row>
    <row r="34" spans="2:22" s="7" customFormat="1">
      <c r="B34" s="7" t="s">
        <v>22</v>
      </c>
      <c r="C34" s="67">
        <f>AVERAGE(C3:C33)</f>
        <v>1357.9691548877086</v>
      </c>
      <c r="D34" s="13">
        <f>AVERAGE(D3:D32)</f>
        <v>63.4</v>
      </c>
      <c r="E34" s="75">
        <f>AVERAGE(E3:E32)</f>
        <v>242.7</v>
      </c>
      <c r="F34" s="18" t="s">
        <v>22</v>
      </c>
      <c r="G34" s="67">
        <f>AVERAGE(G3:G32)</f>
        <v>584.98987402906505</v>
      </c>
      <c r="H34" s="67">
        <f>AVERAGE(H3:H33)</f>
        <v>4566.3894591726994</v>
      </c>
      <c r="I34" s="8"/>
      <c r="J34" s="14">
        <f>AVERAGE(J4:J32)</f>
        <v>5.31103448275862</v>
      </c>
      <c r="K34" s="14">
        <f>AVERAGE(K4:K32)</f>
        <v>7.1224137931034495</v>
      </c>
      <c r="L34" s="21"/>
      <c r="M34" s="76"/>
      <c r="N34" s="15">
        <f>AVERAGE(N3:N30)</f>
        <v>0.45279587858535225</v>
      </c>
      <c r="O34" s="18" t="s">
        <v>22</v>
      </c>
      <c r="P34" s="78">
        <f>AVERAGE(P3:P30)</f>
        <v>6646.875</v>
      </c>
      <c r="Q34" s="78" t="s">
        <v>0</v>
      </c>
      <c r="R34" s="78">
        <f>AVERAGE(R3:R30)</f>
        <v>5118.75</v>
      </c>
      <c r="S34" s="78">
        <f>AVERAGE(S3:S30)</f>
        <v>7743.75</v>
      </c>
      <c r="T34" s="78">
        <f>AVERAGE(T3:T30)</f>
        <v>5006.25</v>
      </c>
      <c r="U34" s="78">
        <f>AVERAGE(U3:U30)</f>
        <v>2253.125</v>
      </c>
      <c r="V34" s="16"/>
    </row>
    <row r="35" spans="2:22" s="7" customFormat="1">
      <c r="B35" s="7" t="s">
        <v>23</v>
      </c>
      <c r="C35" s="67">
        <f>STDEV(C3:C33)</f>
        <v>374.74843444846243</v>
      </c>
      <c r="D35" s="13">
        <f>STDEV(D3:D32)</f>
        <v>1.0609039736843817</v>
      </c>
      <c r="E35" s="75">
        <f>STDEV(E3:E32)</f>
        <v>104.47575201270719</v>
      </c>
      <c r="F35" s="18" t="s">
        <v>23</v>
      </c>
      <c r="G35" s="67">
        <f>STDEV(G3:G32)</f>
        <v>32.382126139772247</v>
      </c>
      <c r="H35" s="67">
        <f>STDEV(H3:H33)</f>
        <v>614.6118899670804</v>
      </c>
      <c r="I35" s="8"/>
      <c r="J35" s="14">
        <f>STDEV(J4:J32)</f>
        <v>0.20277265291077318</v>
      </c>
      <c r="K35" s="14">
        <f>STDEV(K4:K32)</f>
        <v>0.12729760328834033</v>
      </c>
      <c r="L35" s="21"/>
      <c r="M35" s="76"/>
      <c r="N35" s="15">
        <f>STDEV(N3:N30)</f>
        <v>1.251842585871182E-2</v>
      </c>
      <c r="O35" s="18" t="s">
        <v>23</v>
      </c>
      <c r="P35" s="78">
        <f>STDEV(P3:P30)</f>
        <v>503.15411406446833</v>
      </c>
      <c r="Q35" s="78" t="s">
        <v>0</v>
      </c>
      <c r="R35" s="78">
        <f>STDEV(R3:R30)</f>
        <v>448.20242822486654</v>
      </c>
      <c r="S35" s="78">
        <f>STDEV(S3:S30)</f>
        <v>423.58834182887261</v>
      </c>
      <c r="T35" s="78">
        <f>STDEV(T3:T30)</f>
        <v>212.25476044916715</v>
      </c>
      <c r="U35" s="78">
        <f>STDEV(U3:U30)</f>
        <v>122.20841146718732</v>
      </c>
      <c r="V35" s="16"/>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tabSelected="1" workbookViewId="0">
      <pane xSplit="2" ySplit="2" topLeftCell="C3" activePane="bottomRight" state="frozen"/>
      <selection pane="topRight" activeCell="C1" sqref="C1"/>
      <selection pane="bottomLeft" activeCell="A3" sqref="A3"/>
      <selection pane="bottomRight" activeCell="D34" sqref="D34"/>
    </sheetView>
  </sheetViews>
  <sheetFormatPr baseColWidth="10" defaultRowHeight="15" x14ac:dyDescent="0"/>
  <cols>
    <col min="1" max="1" width="29.83203125" customWidth="1"/>
    <col min="2" max="2" width="6.33203125" customWidth="1"/>
    <col min="3" max="3" width="10.83203125" style="66"/>
    <col min="4" max="4" width="10.83203125" style="2"/>
    <col min="5" max="5" width="10.83203125" style="22"/>
    <col min="6" max="6" width="4.6640625" style="2" customWidth="1"/>
    <col min="7" max="8" width="10.83203125" style="65"/>
    <col min="9" max="9" width="5" customWidth="1"/>
    <col min="10" max="10" width="10.6640625" style="3" customWidth="1"/>
    <col min="11" max="11" width="8" style="3" customWidth="1"/>
    <col min="12" max="12" width="4.6640625" style="22" customWidth="1"/>
    <col min="13" max="14" width="10.83203125" style="5"/>
    <col min="15" max="15" width="5.1640625" customWidth="1"/>
    <col min="16" max="18" width="10.83203125" style="66"/>
    <col min="19" max="21" width="8.6640625" style="66" customWidth="1"/>
    <col min="22" max="22" width="8.6640625" style="6" customWidth="1"/>
    <col min="23" max="24" width="9.83203125" customWidth="1"/>
    <col min="25" max="25" width="11.5" bestFit="1" customWidth="1"/>
    <col min="26" max="26" width="11" bestFit="1" customWidth="1"/>
  </cols>
  <sheetData>
    <row r="1" spans="1:26" s="9" customFormat="1" ht="18">
      <c r="A1" s="9" t="s">
        <v>116</v>
      </c>
      <c r="C1" s="63"/>
      <c r="D1" s="12"/>
      <c r="E1" s="19"/>
      <c r="F1" s="12"/>
      <c r="G1" s="70"/>
      <c r="H1" s="70"/>
      <c r="J1" s="72"/>
      <c r="K1" s="72"/>
      <c r="L1" s="19"/>
      <c r="M1" s="68"/>
      <c r="N1" s="68"/>
      <c r="P1" s="63"/>
      <c r="Q1" s="63"/>
      <c r="R1" s="63"/>
      <c r="S1" s="63"/>
      <c r="T1" s="63"/>
      <c r="U1" s="63"/>
      <c r="V1" s="11"/>
    </row>
    <row r="2" spans="1:26" s="23" customFormat="1" ht="60">
      <c r="A2" s="23" t="s">
        <v>12</v>
      </c>
      <c r="B2" s="24" t="s">
        <v>117</v>
      </c>
      <c r="C2" s="64" t="s">
        <v>28</v>
      </c>
      <c r="D2" s="26" t="s">
        <v>9</v>
      </c>
      <c r="E2" s="74" t="s">
        <v>10</v>
      </c>
      <c r="F2" s="27" t="s">
        <v>24</v>
      </c>
      <c r="G2" s="71" t="s">
        <v>29</v>
      </c>
      <c r="H2" s="71" t="s">
        <v>30</v>
      </c>
      <c r="I2" s="27" t="s">
        <v>24</v>
      </c>
      <c r="J2" s="28" t="s">
        <v>1</v>
      </c>
      <c r="K2" s="28" t="s">
        <v>11</v>
      </c>
      <c r="L2" s="30" t="s">
        <v>24</v>
      </c>
      <c r="M2" s="69" t="s">
        <v>13</v>
      </c>
      <c r="N2" s="69" t="s">
        <v>14</v>
      </c>
      <c r="O2" s="27" t="s">
        <v>24</v>
      </c>
      <c r="P2" s="77" t="s">
        <v>15</v>
      </c>
      <c r="Q2" s="77" t="s">
        <v>16</v>
      </c>
      <c r="R2" s="77" t="s">
        <v>17</v>
      </c>
      <c r="S2" s="77" t="s">
        <v>18</v>
      </c>
      <c r="T2" s="77" t="s">
        <v>19</v>
      </c>
      <c r="U2" s="77" t="s">
        <v>20</v>
      </c>
      <c r="V2" s="32"/>
      <c r="W2" s="23" t="s">
        <v>5</v>
      </c>
      <c r="X2" s="23" t="s">
        <v>6</v>
      </c>
      <c r="Y2" s="23" t="s">
        <v>7</v>
      </c>
      <c r="Z2" s="23" t="s">
        <v>8</v>
      </c>
    </row>
    <row r="3" spans="1:26" ht="14" customHeight="1">
      <c r="B3" s="20">
        <v>1</v>
      </c>
      <c r="C3" s="65">
        <v>1845.3698630107556</v>
      </c>
      <c r="D3" s="80">
        <v>65.2</v>
      </c>
      <c r="E3" s="91">
        <v>382</v>
      </c>
      <c r="F3" s="20">
        <v>1</v>
      </c>
      <c r="G3" s="65">
        <v>686.46575342356277</v>
      </c>
      <c r="H3" s="65">
        <v>5947.3972602644881</v>
      </c>
      <c r="I3" s="20">
        <v>1</v>
      </c>
      <c r="J3" s="3">
        <v>5.21</v>
      </c>
      <c r="K3" s="3">
        <v>7.1</v>
      </c>
      <c r="L3" s="20">
        <v>1</v>
      </c>
      <c r="O3" s="20">
        <v>1</v>
      </c>
      <c r="P3" s="65"/>
      <c r="Q3" s="65"/>
      <c r="R3" s="65"/>
      <c r="S3" s="65"/>
      <c r="T3" s="65"/>
      <c r="U3" s="65"/>
      <c r="W3" s="6">
        <v>6</v>
      </c>
      <c r="X3" s="6">
        <v>0</v>
      </c>
      <c r="Y3" s="6">
        <v>479357</v>
      </c>
      <c r="Z3" s="6">
        <v>4433</v>
      </c>
    </row>
    <row r="4" spans="1:26" ht="14" customHeight="1">
      <c r="B4" s="20">
        <v>2</v>
      </c>
      <c r="C4" s="65">
        <v>1330.2377622388451</v>
      </c>
      <c r="D4" s="80">
        <v>64.5</v>
      </c>
      <c r="E4" s="91">
        <v>467</v>
      </c>
      <c r="F4" s="20">
        <v>2</v>
      </c>
      <c r="G4" s="65">
        <v>771.3566433572712</v>
      </c>
      <c r="H4" s="65">
        <v>5237.3706293748928</v>
      </c>
      <c r="I4" s="20">
        <v>2</v>
      </c>
      <c r="J4" s="3">
        <v>4.99</v>
      </c>
      <c r="K4" s="3">
        <v>7.04</v>
      </c>
      <c r="L4" s="20">
        <v>2</v>
      </c>
      <c r="N4" s="5">
        <f>AVERAGE([5]Sheet1!$P$2:$P$3)</f>
        <v>0.39215991692627206</v>
      </c>
      <c r="O4" s="20">
        <v>2</v>
      </c>
      <c r="P4" s="65">
        <f>AVERAGE([5]Sheet1!$M$4:$M$5)</f>
        <v>7112.5</v>
      </c>
      <c r="Q4" s="65"/>
      <c r="R4" s="65">
        <f>AVERAGE([5]Sheet1!$O$4:$O$5)</f>
        <v>5525</v>
      </c>
      <c r="S4" s="65">
        <f>AVERAGE([5]Sheet1!$M$2:$M$3)</f>
        <v>8050.0000000000009</v>
      </c>
      <c r="T4" s="65">
        <f>AVERAGE([5]Sheet1!$N$2:$N$3)</f>
        <v>5487.5</v>
      </c>
      <c r="U4" s="65">
        <f>AVERAGE([5]Sheet1!$O$2:$O$3)</f>
        <v>2150</v>
      </c>
      <c r="W4" s="6">
        <v>8</v>
      </c>
      <c r="X4" s="6">
        <v>0</v>
      </c>
      <c r="Y4" s="6">
        <v>482157</v>
      </c>
      <c r="Z4" s="6">
        <v>4463</v>
      </c>
    </row>
    <row r="5" spans="1:26" ht="14" customHeight="1">
      <c r="B5" s="20">
        <v>3</v>
      </c>
      <c r="C5" s="65">
        <v>1285.2972973023525</v>
      </c>
      <c r="D5" s="80">
        <v>63.4</v>
      </c>
      <c r="E5" s="91">
        <v>650</v>
      </c>
      <c r="F5" s="20">
        <v>3</v>
      </c>
      <c r="G5" s="65">
        <v>745.29729730022848</v>
      </c>
      <c r="H5" s="65">
        <v>5060.432432452335</v>
      </c>
      <c r="I5" s="20">
        <v>3</v>
      </c>
      <c r="J5" s="3">
        <v>5.07</v>
      </c>
      <c r="K5" s="3">
        <v>7.12</v>
      </c>
      <c r="L5" s="20">
        <v>3</v>
      </c>
      <c r="O5" s="20">
        <v>3</v>
      </c>
      <c r="P5" s="65"/>
      <c r="Q5" s="65"/>
      <c r="R5" s="65"/>
      <c r="S5" s="65"/>
      <c r="T5" s="65"/>
      <c r="U5" s="65"/>
      <c r="W5" s="6">
        <v>8</v>
      </c>
      <c r="X5" s="6">
        <v>0</v>
      </c>
      <c r="Y5" s="6">
        <v>482157</v>
      </c>
      <c r="Z5" s="6">
        <v>4463</v>
      </c>
    </row>
    <row r="6" spans="1:26" ht="14" customHeight="1">
      <c r="B6" s="20">
        <v>4</v>
      </c>
      <c r="C6" s="65">
        <v>1222.9714285663438</v>
      </c>
      <c r="D6" s="80">
        <v>64.2</v>
      </c>
      <c r="E6" s="91">
        <v>394</v>
      </c>
      <c r="F6" s="20">
        <v>4</v>
      </c>
      <c r="G6" s="65">
        <v>601.71428571178399</v>
      </c>
      <c r="H6" s="65">
        <v>4658.3999999806319</v>
      </c>
      <c r="I6" s="20">
        <v>4</v>
      </c>
      <c r="J6" s="3">
        <v>5.07</v>
      </c>
      <c r="K6" s="3">
        <v>7.13</v>
      </c>
      <c r="L6" s="20">
        <v>4</v>
      </c>
      <c r="O6" s="20">
        <v>4</v>
      </c>
      <c r="P6" s="65"/>
      <c r="Q6" s="65"/>
      <c r="R6" s="65"/>
      <c r="S6" s="65"/>
      <c r="T6" s="65"/>
      <c r="U6" s="65"/>
      <c r="W6" s="6">
        <v>8</v>
      </c>
      <c r="X6" s="6">
        <v>0</v>
      </c>
      <c r="Y6" s="6">
        <v>483357</v>
      </c>
      <c r="Z6" s="6">
        <v>4476</v>
      </c>
    </row>
    <row r="7" spans="1:26" ht="14" customHeight="1">
      <c r="B7" s="20">
        <v>5</v>
      </c>
      <c r="C7" s="65">
        <v>1337.0754098411692</v>
      </c>
      <c r="D7" s="80">
        <v>62</v>
      </c>
      <c r="E7" s="91">
        <v>659</v>
      </c>
      <c r="F7" s="20">
        <v>5</v>
      </c>
      <c r="G7" s="65">
        <v>609.99344262527904</v>
      </c>
      <c r="H7" s="65">
        <v>5093.3508196915718</v>
      </c>
      <c r="I7" s="20">
        <v>5</v>
      </c>
      <c r="J7" s="3">
        <v>4.97</v>
      </c>
      <c r="K7" s="3">
        <v>7.15</v>
      </c>
      <c r="L7" s="20">
        <v>5</v>
      </c>
      <c r="O7" s="20">
        <v>5</v>
      </c>
      <c r="P7" s="65"/>
      <c r="Q7" s="65"/>
      <c r="R7" s="65"/>
      <c r="S7" s="65"/>
      <c r="T7" s="65"/>
      <c r="U7" s="65"/>
      <c r="W7" s="6">
        <v>8</v>
      </c>
      <c r="X7" s="6">
        <v>0</v>
      </c>
      <c r="Y7" s="6">
        <v>484857</v>
      </c>
      <c r="Z7" s="6">
        <v>4492</v>
      </c>
    </row>
    <row r="8" spans="1:26" ht="14" customHeight="1">
      <c r="B8" s="20">
        <v>6</v>
      </c>
      <c r="C8" s="65">
        <v>1342.9565217357317</v>
      </c>
      <c r="D8" s="80">
        <v>62.1</v>
      </c>
      <c r="E8" s="91">
        <v>772</v>
      </c>
      <c r="F8" s="20">
        <v>6</v>
      </c>
      <c r="G8" s="65">
        <v>566.60869565073995</v>
      </c>
      <c r="H8" s="65">
        <v>5306.0869565083103</v>
      </c>
      <c r="I8" s="20">
        <v>6</v>
      </c>
      <c r="J8" s="3">
        <v>4.99</v>
      </c>
      <c r="K8" s="3">
        <v>7.04</v>
      </c>
      <c r="L8" s="20">
        <v>6</v>
      </c>
      <c r="O8" s="20">
        <v>6</v>
      </c>
      <c r="P8" s="65"/>
      <c r="Q8" s="65"/>
      <c r="R8" s="65"/>
      <c r="S8" s="65"/>
      <c r="T8" s="65"/>
      <c r="U8" s="65"/>
      <c r="W8" s="6">
        <v>7</v>
      </c>
      <c r="X8" s="6">
        <v>0</v>
      </c>
      <c r="Y8" s="6">
        <v>486157</v>
      </c>
      <c r="Z8" s="6">
        <v>4506</v>
      </c>
    </row>
    <row r="9" spans="1:26" ht="14" customHeight="1">
      <c r="B9" s="20">
        <v>7</v>
      </c>
      <c r="C9" s="65">
        <v>1292.4381625420428</v>
      </c>
      <c r="D9" s="80">
        <v>64.400000000000006</v>
      </c>
      <c r="E9" s="91">
        <v>339</v>
      </c>
      <c r="F9" s="20">
        <v>7</v>
      </c>
      <c r="G9" s="65">
        <v>564.80565370931799</v>
      </c>
      <c r="H9" s="65">
        <v>5027.2791519351913</v>
      </c>
      <c r="I9" s="20">
        <v>7</v>
      </c>
      <c r="J9" s="3">
        <v>5.08</v>
      </c>
      <c r="K9" s="3">
        <v>7.07</v>
      </c>
      <c r="L9" s="20">
        <v>7</v>
      </c>
      <c r="O9" s="20">
        <v>7</v>
      </c>
      <c r="P9" s="65"/>
      <c r="Q9" s="65"/>
      <c r="R9" s="65"/>
      <c r="S9" s="65"/>
      <c r="T9" s="65"/>
      <c r="U9" s="65"/>
      <c r="W9" s="6">
        <v>7</v>
      </c>
      <c r="X9" s="6">
        <v>0</v>
      </c>
      <c r="Y9" s="6">
        <v>487457</v>
      </c>
      <c r="Z9" s="6">
        <v>4520</v>
      </c>
    </row>
    <row r="10" spans="1:26" ht="14" customHeight="1">
      <c r="B10" s="20">
        <v>8</v>
      </c>
      <c r="C10" s="65">
        <v>1079.7546012316209</v>
      </c>
      <c r="D10" s="80">
        <v>62.6</v>
      </c>
      <c r="E10" s="91">
        <v>443</v>
      </c>
      <c r="F10" s="20">
        <v>8</v>
      </c>
      <c r="G10" s="65">
        <v>701.84049080055354</v>
      </c>
      <c r="H10" s="65">
        <v>4118.773006152619</v>
      </c>
      <c r="I10" s="20">
        <v>8</v>
      </c>
      <c r="J10" s="3">
        <v>5.01</v>
      </c>
      <c r="K10" s="3">
        <v>7.14</v>
      </c>
      <c r="L10" s="20">
        <v>8</v>
      </c>
      <c r="O10" s="20">
        <v>8</v>
      </c>
      <c r="P10" s="65"/>
      <c r="Q10" s="65"/>
      <c r="R10" s="65"/>
      <c r="S10" s="65"/>
      <c r="T10" s="65"/>
      <c r="U10" s="65"/>
      <c r="W10" s="6">
        <v>7</v>
      </c>
      <c r="X10" s="6">
        <v>0</v>
      </c>
      <c r="Y10" s="6">
        <v>488557</v>
      </c>
      <c r="Z10" s="6">
        <v>4532</v>
      </c>
    </row>
    <row r="11" spans="1:26" ht="14" customHeight="1">
      <c r="B11" s="20">
        <v>9</v>
      </c>
      <c r="C11" s="65">
        <v>1440.9387222922487</v>
      </c>
      <c r="D11" s="80">
        <v>61.9</v>
      </c>
      <c r="E11" s="91">
        <v>436</v>
      </c>
      <c r="F11" s="20">
        <v>9</v>
      </c>
      <c r="G11" s="65">
        <v>623.3116036495461</v>
      </c>
      <c r="H11" s="65">
        <v>4163.2333767857481</v>
      </c>
      <c r="I11" s="20">
        <v>9</v>
      </c>
      <c r="J11" s="3">
        <v>4.93</v>
      </c>
      <c r="K11" s="3">
        <v>7.15</v>
      </c>
      <c r="L11" s="20">
        <v>9</v>
      </c>
      <c r="O11" s="20">
        <v>9</v>
      </c>
      <c r="P11" s="65"/>
      <c r="Q11" s="65"/>
      <c r="R11" s="65"/>
      <c r="S11" s="65"/>
      <c r="T11" s="65"/>
      <c r="U11" s="65"/>
      <c r="W11" s="6">
        <v>8</v>
      </c>
      <c r="X11" s="6">
        <v>0</v>
      </c>
      <c r="Y11" s="6">
        <v>490057</v>
      </c>
      <c r="Z11" s="6">
        <v>4545</v>
      </c>
    </row>
    <row r="12" spans="1:26" ht="14" customHeight="1">
      <c r="B12" s="20">
        <v>10</v>
      </c>
      <c r="C12" s="65">
        <v>1665.1936872223682</v>
      </c>
      <c r="D12" s="80">
        <v>58.2</v>
      </c>
      <c r="E12" s="91">
        <v>669</v>
      </c>
      <c r="F12" s="20">
        <v>10</v>
      </c>
      <c r="G12" s="65">
        <v>481.37733141788055</v>
      </c>
      <c r="H12" s="65">
        <v>3535.9540889343457</v>
      </c>
      <c r="I12" s="20">
        <v>10</v>
      </c>
      <c r="J12" s="3">
        <v>4.78</v>
      </c>
      <c r="K12" s="3">
        <v>7.1</v>
      </c>
      <c r="L12" s="20">
        <v>10</v>
      </c>
      <c r="O12" s="20">
        <v>10</v>
      </c>
      <c r="P12" s="65"/>
      <c r="Q12" s="65"/>
      <c r="R12" s="65"/>
      <c r="S12" s="65"/>
      <c r="T12" s="65"/>
      <c r="U12" s="65"/>
      <c r="W12" s="6">
        <v>8</v>
      </c>
      <c r="X12" s="6">
        <v>0</v>
      </c>
      <c r="Y12" s="6">
        <v>491857</v>
      </c>
      <c r="Z12" s="6">
        <v>4556</v>
      </c>
    </row>
    <row r="13" spans="1:26" ht="14" customHeight="1">
      <c r="B13" s="20">
        <v>11</v>
      </c>
      <c r="C13" s="65">
        <v>2612.3013130770587</v>
      </c>
      <c r="D13" s="80">
        <v>60.5</v>
      </c>
      <c r="E13" s="91">
        <v>489</v>
      </c>
      <c r="F13" s="20">
        <v>11</v>
      </c>
      <c r="G13" s="6">
        <v>480.66344160617888</v>
      </c>
      <c r="H13" s="6">
        <v>5569.9239806827809</v>
      </c>
      <c r="I13" s="20">
        <v>11</v>
      </c>
      <c r="J13" s="3">
        <v>4.68</v>
      </c>
      <c r="K13" s="3">
        <v>7.13</v>
      </c>
      <c r="L13" s="20">
        <v>11</v>
      </c>
      <c r="N13" s="5">
        <v>0.46</v>
      </c>
      <c r="O13" s="20">
        <v>11</v>
      </c>
      <c r="P13" s="65">
        <f>AVERAGE([6]Sheet1!$M$39:$M$40)</f>
        <v>6975</v>
      </c>
      <c r="Q13" s="65"/>
      <c r="R13" s="65">
        <f>AVERAGE([6]Sheet1!$O$39:$O$40)</f>
        <v>4800</v>
      </c>
      <c r="S13" s="65">
        <f>AVERAGE([6]Sheet1!$M$37:$M$38)</f>
        <v>8500</v>
      </c>
      <c r="T13" s="65">
        <f>AVERAGE([6]Sheet1!$N$37:$N$38)</f>
        <v>5600</v>
      </c>
      <c r="U13" s="65">
        <f>AVERAGE([6]Sheet1!$O$37:$O$38)</f>
        <v>2575.0000000000009</v>
      </c>
      <c r="W13" s="94"/>
      <c r="X13" s="94"/>
      <c r="Y13" s="94"/>
      <c r="Z13" s="94"/>
    </row>
    <row r="14" spans="1:26" ht="14" customHeight="1">
      <c r="B14" s="20">
        <v>12</v>
      </c>
      <c r="C14" s="65">
        <v>2993.4354485654799</v>
      </c>
      <c r="D14" s="80">
        <v>60.8</v>
      </c>
      <c r="E14" s="91">
        <v>581</v>
      </c>
      <c r="F14" s="20">
        <v>12</v>
      </c>
      <c r="G14" s="6">
        <v>474.74835886020941</v>
      </c>
      <c r="H14" s="6">
        <v>6437.4617067571326</v>
      </c>
      <c r="I14" s="20">
        <v>12</v>
      </c>
      <c r="J14" s="3">
        <v>4.72</v>
      </c>
      <c r="K14" s="3">
        <v>7.1</v>
      </c>
      <c r="L14" s="20">
        <v>12</v>
      </c>
      <c r="O14" s="20">
        <v>12</v>
      </c>
      <c r="P14" s="65"/>
      <c r="Q14" s="65"/>
      <c r="R14" s="65"/>
      <c r="S14" s="65"/>
      <c r="T14" s="65"/>
      <c r="U14" s="65"/>
      <c r="W14" s="6">
        <v>7</v>
      </c>
      <c r="X14" s="6">
        <v>10</v>
      </c>
      <c r="Y14" s="6">
        <v>497257</v>
      </c>
      <c r="Z14" s="6">
        <v>4588</v>
      </c>
    </row>
    <row r="15" spans="1:26" ht="14" customHeight="1">
      <c r="B15" s="20">
        <v>13</v>
      </c>
      <c r="C15" s="65">
        <v>2412.1518987448408</v>
      </c>
      <c r="D15" s="80">
        <v>64</v>
      </c>
      <c r="E15" s="91">
        <v>312</v>
      </c>
      <c r="F15" s="20">
        <v>13</v>
      </c>
      <c r="G15" s="6">
        <v>465.82278481218589</v>
      </c>
      <c r="H15" s="6">
        <v>7149.367088639201</v>
      </c>
      <c r="I15" s="20">
        <v>13</v>
      </c>
      <c r="J15" s="3">
        <v>4.7</v>
      </c>
      <c r="K15" s="3">
        <v>7.04</v>
      </c>
      <c r="L15" s="20">
        <v>13</v>
      </c>
      <c r="O15" s="20">
        <v>13</v>
      </c>
      <c r="P15" s="65"/>
      <c r="Q15" s="65"/>
      <c r="R15" s="65"/>
      <c r="S15" s="65"/>
      <c r="T15" s="65"/>
      <c r="U15" s="65"/>
      <c r="W15" s="6">
        <v>5</v>
      </c>
      <c r="X15" s="6">
        <v>0</v>
      </c>
      <c r="Y15" s="6">
        <v>499657</v>
      </c>
      <c r="Z15" s="6">
        <v>4608</v>
      </c>
    </row>
    <row r="16" spans="1:26" ht="14" customHeight="1">
      <c r="B16" s="20">
        <v>14</v>
      </c>
      <c r="C16" s="65">
        <v>1749</v>
      </c>
      <c r="D16" s="80">
        <v>63.6</v>
      </c>
      <c r="E16" s="91">
        <v>310</v>
      </c>
      <c r="F16" s="20">
        <v>14</v>
      </c>
      <c r="G16" s="6">
        <v>537</v>
      </c>
      <c r="H16" s="6">
        <v>7026</v>
      </c>
      <c r="I16" s="20">
        <v>14</v>
      </c>
      <c r="J16" s="3">
        <v>4.7</v>
      </c>
      <c r="K16" s="3">
        <v>7.01</v>
      </c>
      <c r="L16" s="20">
        <v>14</v>
      </c>
      <c r="O16" s="20">
        <v>14</v>
      </c>
      <c r="P16" s="65"/>
      <c r="Q16" s="65"/>
      <c r="R16" s="65"/>
      <c r="S16" s="65"/>
      <c r="T16" s="65"/>
      <c r="U16" s="65"/>
      <c r="W16" s="6">
        <v>5</v>
      </c>
      <c r="X16" s="6">
        <v>0</v>
      </c>
      <c r="Y16" s="6">
        <v>501457</v>
      </c>
      <c r="Z16" s="6">
        <v>4627</v>
      </c>
    </row>
    <row r="17" spans="1:26" ht="14" customHeight="1">
      <c r="B17" s="20">
        <v>15</v>
      </c>
      <c r="C17" s="65">
        <v>1893.5510204036646</v>
      </c>
      <c r="D17" s="80">
        <v>63.4</v>
      </c>
      <c r="E17" s="91">
        <v>242</v>
      </c>
      <c r="F17" s="20">
        <v>15</v>
      </c>
      <c r="G17" s="6">
        <v>587.75510203941985</v>
      </c>
      <c r="H17" s="6">
        <v>7562.4489795738691</v>
      </c>
      <c r="I17" s="20">
        <v>15</v>
      </c>
      <c r="J17" s="3">
        <v>4.84</v>
      </c>
      <c r="K17" s="3">
        <v>7.13</v>
      </c>
      <c r="L17" s="20">
        <v>15</v>
      </c>
      <c r="O17" s="20">
        <v>15</v>
      </c>
      <c r="P17" s="65"/>
      <c r="Q17" s="65"/>
      <c r="R17" s="65"/>
      <c r="S17" s="65"/>
      <c r="T17" s="65"/>
      <c r="U17" s="65"/>
      <c r="V17"/>
      <c r="W17" s="6">
        <v>4</v>
      </c>
      <c r="X17">
        <v>0</v>
      </c>
      <c r="Y17" s="6">
        <v>503497</v>
      </c>
      <c r="Z17" s="6">
        <v>4648</v>
      </c>
    </row>
    <row r="18" spans="1:26" ht="14" customHeight="1">
      <c r="B18" s="20">
        <v>16</v>
      </c>
      <c r="C18" s="65">
        <v>2362</v>
      </c>
      <c r="D18" s="73">
        <v>64.3</v>
      </c>
      <c r="E18" s="4">
        <v>200</v>
      </c>
      <c r="F18" s="20">
        <v>16</v>
      </c>
      <c r="G18" s="65">
        <v>489.2</v>
      </c>
      <c r="H18" s="65">
        <v>7191.8</v>
      </c>
      <c r="I18" s="20">
        <v>16</v>
      </c>
      <c r="J18" s="3">
        <v>4.7</v>
      </c>
      <c r="K18" s="3">
        <v>7.03</v>
      </c>
      <c r="L18" s="20">
        <v>16</v>
      </c>
      <c r="O18" s="20">
        <v>16</v>
      </c>
      <c r="P18" s="65"/>
      <c r="Q18" s="65"/>
      <c r="R18" s="65"/>
      <c r="S18" s="65"/>
      <c r="T18" s="65"/>
      <c r="U18" s="65"/>
      <c r="V18"/>
      <c r="W18" s="6">
        <v>5</v>
      </c>
      <c r="X18">
        <v>0</v>
      </c>
      <c r="Y18" s="6">
        <v>505757</v>
      </c>
      <c r="Z18" s="6">
        <v>4668</v>
      </c>
    </row>
    <row r="19" spans="1:26" ht="14" customHeight="1">
      <c r="B19" s="20">
        <v>17</v>
      </c>
      <c r="C19" s="65">
        <v>1740.4</v>
      </c>
      <c r="D19" s="73">
        <v>64</v>
      </c>
      <c r="E19" s="4">
        <v>234</v>
      </c>
      <c r="F19" s="20">
        <v>17</v>
      </c>
      <c r="G19" s="65">
        <v>497.6</v>
      </c>
      <c r="H19" s="65">
        <v>6861.5</v>
      </c>
      <c r="I19" s="20">
        <v>17</v>
      </c>
      <c r="J19" s="3">
        <v>4.76</v>
      </c>
      <c r="K19" s="3">
        <v>7.04</v>
      </c>
      <c r="L19" s="20">
        <v>17</v>
      </c>
      <c r="O19" s="20">
        <v>17</v>
      </c>
      <c r="P19" s="65"/>
      <c r="Q19" s="65"/>
      <c r="R19" s="65"/>
      <c r="S19" s="65"/>
      <c r="T19" s="65"/>
      <c r="U19" s="65"/>
      <c r="V19"/>
      <c r="W19" s="6">
        <v>5</v>
      </c>
      <c r="X19">
        <v>0</v>
      </c>
      <c r="Y19" s="6">
        <v>507559</v>
      </c>
      <c r="Z19" s="6">
        <v>4687</v>
      </c>
    </row>
    <row r="20" spans="1:26" ht="14" customHeight="1">
      <c r="B20" s="20">
        <v>18</v>
      </c>
      <c r="C20" s="65">
        <v>1945.6</v>
      </c>
      <c r="D20" s="73">
        <v>64.099999999999994</v>
      </c>
      <c r="E20" s="4">
        <v>138</v>
      </c>
      <c r="F20" s="20">
        <v>18</v>
      </c>
      <c r="G20" s="65">
        <v>574.4</v>
      </c>
      <c r="H20" s="65">
        <v>8013.4</v>
      </c>
      <c r="I20" s="20">
        <v>18</v>
      </c>
      <c r="J20" s="3">
        <v>4.68</v>
      </c>
      <c r="K20" s="3">
        <v>7.02</v>
      </c>
      <c r="L20" s="20">
        <v>18</v>
      </c>
      <c r="O20" s="20">
        <v>18</v>
      </c>
      <c r="P20" s="65"/>
      <c r="Q20" s="65"/>
      <c r="R20" s="65"/>
      <c r="S20" s="65"/>
      <c r="T20" s="65"/>
      <c r="U20" s="65"/>
      <c r="V20"/>
      <c r="W20" s="6">
        <v>3</v>
      </c>
      <c r="X20">
        <v>0</v>
      </c>
      <c r="Y20" s="6">
        <v>509997</v>
      </c>
      <c r="Z20" s="6">
        <v>4710</v>
      </c>
    </row>
    <row r="21" spans="1:26" ht="14" customHeight="1">
      <c r="A21" t="s">
        <v>119</v>
      </c>
      <c r="B21" s="20">
        <v>19</v>
      </c>
      <c r="C21" s="65">
        <v>2183.1999999999998</v>
      </c>
      <c r="D21" s="73">
        <v>63.9</v>
      </c>
      <c r="E21" s="4">
        <v>163</v>
      </c>
      <c r="F21" s="20">
        <v>19</v>
      </c>
      <c r="G21" s="65">
        <v>574.79999999999995</v>
      </c>
      <c r="H21" s="65">
        <v>9039.2999999999993</v>
      </c>
      <c r="I21" s="20">
        <v>19</v>
      </c>
      <c r="J21" s="3">
        <v>4.71</v>
      </c>
      <c r="K21" s="3">
        <v>7</v>
      </c>
      <c r="L21" s="20">
        <v>19</v>
      </c>
      <c r="O21" s="20">
        <v>19</v>
      </c>
      <c r="P21" s="65"/>
      <c r="Q21" s="65"/>
      <c r="R21" s="65"/>
      <c r="S21" s="65"/>
      <c r="T21" s="65"/>
      <c r="U21" s="65"/>
      <c r="V21"/>
      <c r="W21" s="6">
        <v>0</v>
      </c>
      <c r="X21">
        <v>14</v>
      </c>
      <c r="Y21" s="6">
        <v>511757</v>
      </c>
      <c r="Z21" s="6">
        <v>4733</v>
      </c>
    </row>
    <row r="22" spans="1:26" ht="14" customHeight="1">
      <c r="A22" t="s">
        <v>120</v>
      </c>
      <c r="B22" s="20">
        <v>20</v>
      </c>
      <c r="C22" s="65">
        <v>2561.6999999999998</v>
      </c>
      <c r="D22" s="73">
        <v>64.900000000000006</v>
      </c>
      <c r="E22" s="4">
        <v>102</v>
      </c>
      <c r="F22" s="20">
        <v>20</v>
      </c>
      <c r="G22" s="65">
        <v>620.5</v>
      </c>
      <c r="H22" s="65">
        <v>8939.1</v>
      </c>
      <c r="I22" s="20">
        <v>20</v>
      </c>
      <c r="J22" s="95"/>
      <c r="K22" s="3">
        <v>7.02</v>
      </c>
      <c r="L22" s="20">
        <v>20</v>
      </c>
      <c r="O22" s="20">
        <v>20</v>
      </c>
      <c r="P22" s="65"/>
      <c r="Q22" s="65"/>
      <c r="R22" s="65"/>
      <c r="S22" s="65"/>
      <c r="T22" s="65"/>
      <c r="U22" s="65"/>
      <c r="V22"/>
      <c r="W22" s="6">
        <v>0</v>
      </c>
      <c r="X22">
        <v>29</v>
      </c>
      <c r="Y22" s="6">
        <v>514357</v>
      </c>
      <c r="Z22" s="6">
        <v>4758</v>
      </c>
    </row>
    <row r="23" spans="1:26" ht="14" customHeight="1">
      <c r="A23" t="s">
        <v>121</v>
      </c>
      <c r="B23" s="20">
        <v>21</v>
      </c>
      <c r="C23" s="65">
        <v>2735.1</v>
      </c>
      <c r="D23" s="73">
        <v>66.099999999999994</v>
      </c>
      <c r="E23" s="4">
        <v>64</v>
      </c>
      <c r="F23" s="20">
        <v>21</v>
      </c>
      <c r="G23" s="65">
        <v>526.1</v>
      </c>
      <c r="H23" s="65">
        <v>8277.6</v>
      </c>
      <c r="I23" s="20">
        <v>21</v>
      </c>
      <c r="J23" s="3">
        <v>5.05</v>
      </c>
      <c r="K23" s="3">
        <v>7.03</v>
      </c>
      <c r="L23" s="20">
        <v>21</v>
      </c>
      <c r="O23" s="20">
        <v>21</v>
      </c>
      <c r="P23" s="65"/>
      <c r="Q23" s="65"/>
      <c r="R23" s="65"/>
      <c r="S23" s="65"/>
      <c r="T23" s="65"/>
      <c r="U23" s="65"/>
      <c r="V23"/>
      <c r="W23" s="6">
        <v>0</v>
      </c>
      <c r="X23">
        <v>34</v>
      </c>
      <c r="Y23" s="6">
        <v>517257</v>
      </c>
      <c r="Z23" s="6">
        <v>4781</v>
      </c>
    </row>
    <row r="24" spans="1:26" ht="14" customHeight="1">
      <c r="A24" t="s">
        <v>122</v>
      </c>
      <c r="B24" s="20">
        <v>22</v>
      </c>
      <c r="C24" s="65">
        <v>2559</v>
      </c>
      <c r="D24" s="73">
        <v>65.5</v>
      </c>
      <c r="E24" s="4">
        <v>110</v>
      </c>
      <c r="F24" s="20">
        <v>22</v>
      </c>
      <c r="G24" s="65">
        <v>535.5</v>
      </c>
      <c r="H24" s="65">
        <v>8880.9</v>
      </c>
      <c r="I24" s="20">
        <v>22</v>
      </c>
      <c r="J24" s="3">
        <v>5.3</v>
      </c>
      <c r="K24" s="3">
        <v>6.98</v>
      </c>
      <c r="L24" s="20">
        <v>22</v>
      </c>
      <c r="O24" s="20">
        <v>22</v>
      </c>
      <c r="P24" s="65"/>
      <c r="Q24" s="65"/>
      <c r="R24" s="65"/>
      <c r="S24" s="65"/>
      <c r="T24" s="65"/>
      <c r="U24" s="65"/>
      <c r="V24"/>
      <c r="W24" s="6">
        <v>0</v>
      </c>
      <c r="X24">
        <v>20</v>
      </c>
      <c r="Y24" s="6">
        <v>519857</v>
      </c>
      <c r="Z24" s="6">
        <v>4805</v>
      </c>
    </row>
    <row r="25" spans="1:26" ht="14" customHeight="1">
      <c r="A25" t="s">
        <v>123</v>
      </c>
      <c r="B25" s="20">
        <v>23</v>
      </c>
      <c r="C25" s="65">
        <v>2115.6999999999998</v>
      </c>
      <c r="D25" s="73">
        <v>66.599999999999994</v>
      </c>
      <c r="E25" s="4">
        <v>55</v>
      </c>
      <c r="F25" s="20">
        <v>23</v>
      </c>
      <c r="G25" s="65">
        <v>554.6</v>
      </c>
      <c r="H25" s="65">
        <v>7434.6</v>
      </c>
      <c r="I25" s="20">
        <v>23</v>
      </c>
      <c r="J25" s="3">
        <v>5.23</v>
      </c>
      <c r="K25" s="3">
        <v>7.02</v>
      </c>
      <c r="L25" s="20">
        <v>23</v>
      </c>
      <c r="O25" s="20">
        <v>23</v>
      </c>
      <c r="P25" s="65"/>
      <c r="Q25" s="65"/>
      <c r="R25" s="65"/>
      <c r="S25" s="65"/>
      <c r="T25" s="65"/>
      <c r="U25" s="65"/>
      <c r="V25"/>
      <c r="W25" s="6">
        <v>2</v>
      </c>
      <c r="X25">
        <v>36</v>
      </c>
      <c r="Y25" s="6">
        <v>522057</v>
      </c>
      <c r="Z25" s="6">
        <v>4826</v>
      </c>
    </row>
    <row r="26" spans="1:26" ht="14" customHeight="1">
      <c r="A26" t="s">
        <v>124</v>
      </c>
      <c r="B26" s="20">
        <v>24</v>
      </c>
      <c r="C26" s="65">
        <v>1226.5999999999999</v>
      </c>
      <c r="D26" s="73">
        <v>66.400000000000006</v>
      </c>
      <c r="E26" s="4">
        <v>121</v>
      </c>
      <c r="F26" s="20">
        <v>24</v>
      </c>
      <c r="G26" s="65">
        <v>547.29999999999995</v>
      </c>
      <c r="H26" s="65">
        <v>4012.6</v>
      </c>
      <c r="I26" s="20">
        <v>24</v>
      </c>
      <c r="J26" s="3">
        <v>5.23</v>
      </c>
      <c r="K26" s="3">
        <v>7.03</v>
      </c>
      <c r="L26" s="20">
        <v>24</v>
      </c>
      <c r="O26" s="20">
        <v>24</v>
      </c>
      <c r="P26" s="65"/>
      <c r="Q26" s="65"/>
      <c r="R26" s="65"/>
      <c r="S26" s="65"/>
      <c r="T26" s="65"/>
      <c r="U26" s="65"/>
      <c r="V26"/>
      <c r="W26" s="6">
        <v>3</v>
      </c>
      <c r="X26">
        <v>85</v>
      </c>
      <c r="Y26" s="6">
        <v>523357</v>
      </c>
      <c r="Z26" s="6">
        <v>4837</v>
      </c>
    </row>
    <row r="27" spans="1:26" ht="14" customHeight="1">
      <c r="A27" s="97" t="s">
        <v>118</v>
      </c>
      <c r="B27" s="20">
        <v>25</v>
      </c>
      <c r="C27" s="96">
        <v>1734</v>
      </c>
      <c r="D27" s="73">
        <v>64.5</v>
      </c>
      <c r="E27" s="4">
        <v>53</v>
      </c>
      <c r="F27" s="20">
        <v>25</v>
      </c>
      <c r="G27" s="96">
        <v>536</v>
      </c>
      <c r="H27" s="96">
        <v>6675</v>
      </c>
      <c r="I27" s="20">
        <v>25</v>
      </c>
      <c r="J27" s="3">
        <v>5.0999999999999996</v>
      </c>
      <c r="K27" s="3">
        <v>7.01</v>
      </c>
      <c r="L27" s="20">
        <v>25</v>
      </c>
      <c r="O27" s="20">
        <v>25</v>
      </c>
      <c r="P27" s="65"/>
      <c r="Q27" s="65"/>
      <c r="R27" s="65"/>
      <c r="S27" s="65"/>
      <c r="T27" s="65"/>
      <c r="U27" s="65"/>
      <c r="V27"/>
      <c r="W27" s="6">
        <v>5</v>
      </c>
      <c r="X27">
        <v>1</v>
      </c>
      <c r="Y27" s="6">
        <v>525057</v>
      </c>
      <c r="Z27" s="6">
        <v>4856</v>
      </c>
    </row>
    <row r="28" spans="1:26" ht="14" customHeight="1">
      <c r="A28" s="97" t="s">
        <v>118</v>
      </c>
      <c r="B28" s="20">
        <v>26</v>
      </c>
      <c r="C28" s="96">
        <v>1493</v>
      </c>
      <c r="D28" s="73">
        <v>65.400000000000006</v>
      </c>
      <c r="E28" s="4">
        <v>110</v>
      </c>
      <c r="F28" s="20">
        <v>26</v>
      </c>
      <c r="G28" s="96">
        <v>506</v>
      </c>
      <c r="H28" s="96">
        <v>5339</v>
      </c>
      <c r="I28" s="20">
        <v>26</v>
      </c>
      <c r="J28" s="3">
        <v>5.42</v>
      </c>
      <c r="K28" s="3">
        <v>7.05</v>
      </c>
      <c r="L28" s="20">
        <v>26</v>
      </c>
      <c r="O28" s="20">
        <v>26</v>
      </c>
      <c r="P28" s="65"/>
      <c r="Q28" s="65"/>
      <c r="R28" s="65"/>
      <c r="S28" s="65"/>
      <c r="T28" s="65"/>
      <c r="U28" s="65"/>
      <c r="V28"/>
      <c r="W28" s="6">
        <v>6</v>
      </c>
      <c r="X28">
        <v>0</v>
      </c>
      <c r="Y28" s="6">
        <v>526657</v>
      </c>
      <c r="Z28" s="6">
        <v>4871</v>
      </c>
    </row>
    <row r="29" spans="1:26" ht="14" customHeight="1">
      <c r="B29" s="20">
        <v>27</v>
      </c>
      <c r="C29" s="65">
        <v>1386.7</v>
      </c>
      <c r="D29" s="73">
        <v>63.4</v>
      </c>
      <c r="E29" s="4">
        <v>110</v>
      </c>
      <c r="F29" s="20">
        <v>27</v>
      </c>
      <c r="G29" s="65">
        <v>550.1</v>
      </c>
      <c r="H29" s="65">
        <v>5225.7</v>
      </c>
      <c r="I29" s="20">
        <v>27</v>
      </c>
      <c r="J29" s="3">
        <v>5.33</v>
      </c>
      <c r="K29" s="3">
        <v>7.1</v>
      </c>
      <c r="L29" s="20">
        <v>27</v>
      </c>
      <c r="O29" s="20">
        <v>27</v>
      </c>
      <c r="P29" s="65"/>
      <c r="Q29" s="65"/>
      <c r="R29" s="65"/>
      <c r="S29" s="65"/>
      <c r="T29" s="65"/>
      <c r="U29" s="65"/>
      <c r="V29"/>
      <c r="W29" s="6">
        <v>8</v>
      </c>
      <c r="X29">
        <v>0</v>
      </c>
      <c r="Y29" s="6">
        <v>528057</v>
      </c>
      <c r="Z29" s="6">
        <v>4886</v>
      </c>
    </row>
    <row r="30" spans="1:26" ht="14" customHeight="1">
      <c r="B30" s="20">
        <v>28</v>
      </c>
      <c r="C30" s="65">
        <v>1195.2</v>
      </c>
      <c r="D30" s="73">
        <v>63.7</v>
      </c>
      <c r="E30" s="4">
        <v>73</v>
      </c>
      <c r="F30" s="20">
        <v>28</v>
      </c>
      <c r="G30" s="65">
        <v>576.79999999999995</v>
      </c>
      <c r="H30" s="65">
        <v>4620</v>
      </c>
      <c r="I30" s="20">
        <v>28</v>
      </c>
      <c r="J30" s="3">
        <v>5.37</v>
      </c>
      <c r="K30" s="3">
        <v>7.04</v>
      </c>
      <c r="L30" s="20">
        <v>28</v>
      </c>
      <c r="O30" s="20">
        <v>28</v>
      </c>
      <c r="P30" s="65"/>
      <c r="Q30" s="65"/>
      <c r="R30" s="65"/>
      <c r="S30" s="65"/>
      <c r="T30" s="65"/>
      <c r="U30" s="65"/>
      <c r="V30"/>
      <c r="W30" s="6">
        <v>8</v>
      </c>
      <c r="X30">
        <v>0</v>
      </c>
      <c r="Y30" s="6">
        <v>529257</v>
      </c>
      <c r="Z30" s="6">
        <v>4899</v>
      </c>
    </row>
    <row r="31" spans="1:26">
      <c r="A31" t="s">
        <v>125</v>
      </c>
      <c r="B31" s="20">
        <v>29</v>
      </c>
      <c r="C31" s="65">
        <v>1474</v>
      </c>
      <c r="D31" s="73">
        <v>61.2</v>
      </c>
      <c r="E31" s="4">
        <v>245</v>
      </c>
      <c r="F31" s="20">
        <v>29</v>
      </c>
      <c r="G31" s="65">
        <v>603.1</v>
      </c>
      <c r="H31" s="65">
        <v>5247.7</v>
      </c>
      <c r="I31" s="20">
        <v>29</v>
      </c>
      <c r="J31" s="3">
        <v>5.22</v>
      </c>
      <c r="K31" s="3">
        <v>7.18</v>
      </c>
      <c r="L31" s="20">
        <v>29</v>
      </c>
      <c r="O31" s="20">
        <v>29</v>
      </c>
      <c r="P31" s="65"/>
      <c r="Q31" s="65"/>
      <c r="R31" s="65"/>
      <c r="S31" s="65"/>
      <c r="T31" s="65"/>
      <c r="U31" s="65"/>
      <c r="V31"/>
      <c r="W31" s="6">
        <v>7</v>
      </c>
      <c r="X31">
        <v>3</v>
      </c>
      <c r="Y31" s="6">
        <v>530957</v>
      </c>
      <c r="Z31" s="6">
        <v>4916</v>
      </c>
    </row>
    <row r="32" spans="1:26">
      <c r="A32" t="s">
        <v>126</v>
      </c>
      <c r="B32" s="20">
        <v>30</v>
      </c>
      <c r="C32" s="65">
        <v>1687</v>
      </c>
      <c r="D32" s="73">
        <v>62.3</v>
      </c>
      <c r="E32" s="4">
        <v>241</v>
      </c>
      <c r="F32" s="20">
        <v>30</v>
      </c>
      <c r="G32" s="65">
        <v>576</v>
      </c>
      <c r="H32" s="65">
        <v>4514.3</v>
      </c>
      <c r="I32" s="20">
        <v>30</v>
      </c>
      <c r="J32" s="3">
        <v>5.18</v>
      </c>
      <c r="K32" s="3">
        <v>6.99</v>
      </c>
      <c r="L32" s="20">
        <v>30</v>
      </c>
      <c r="O32" s="20">
        <v>30</v>
      </c>
      <c r="P32" s="65"/>
      <c r="Q32" s="65"/>
      <c r="R32" s="65"/>
      <c r="S32" s="65"/>
      <c r="T32" s="65"/>
      <c r="U32" s="65"/>
      <c r="V32"/>
      <c r="W32" s="6">
        <v>6</v>
      </c>
      <c r="X32">
        <v>3</v>
      </c>
      <c r="Y32" s="6">
        <v>532457</v>
      </c>
      <c r="Z32" s="6">
        <v>4927</v>
      </c>
    </row>
    <row r="33" spans="1:22">
      <c r="A33" t="s">
        <v>127</v>
      </c>
      <c r="B33" s="98">
        <v>31</v>
      </c>
      <c r="C33" s="66" t="s">
        <v>0</v>
      </c>
      <c r="F33" s="17"/>
      <c r="H33" s="65" t="s">
        <v>0</v>
      </c>
      <c r="L33" s="20"/>
      <c r="O33" s="17"/>
    </row>
    <row r="34" spans="1:22" s="7" customFormat="1">
      <c r="B34" s="7" t="s">
        <v>22</v>
      </c>
      <c r="C34" s="67">
        <f>AVERAGE(C3:C33)</f>
        <v>1796.7291045591503</v>
      </c>
      <c r="D34" s="13">
        <f>AVERAGE(D3:D32)</f>
        <v>63.570000000000007</v>
      </c>
      <c r="E34" s="75">
        <f>AVERAGE(E3:E32)</f>
        <v>305.46666666666664</v>
      </c>
      <c r="F34" s="18" t="s">
        <v>22</v>
      </c>
      <c r="G34" s="67">
        <f>AVERAGE(G3:G32)</f>
        <v>572.22536283213856</v>
      </c>
      <c r="H34" s="67">
        <f>AVERAGE(H3:H33)</f>
        <v>6072.1993159244385</v>
      </c>
      <c r="I34" s="8"/>
      <c r="J34" s="14">
        <f>AVERAGE(J3:J32)</f>
        <v>5.0006896551724145</v>
      </c>
      <c r="K34" s="14">
        <f>AVERAGE(K3:K32)</f>
        <v>7.0663333333333336</v>
      </c>
      <c r="L34" s="21"/>
      <c r="M34" s="76"/>
      <c r="N34" s="15">
        <f>AVERAGE(N3:N30)</f>
        <v>0.42607995846313607</v>
      </c>
      <c r="O34" s="18" t="s">
        <v>22</v>
      </c>
      <c r="P34" s="78">
        <f>AVERAGE(P3:P30)</f>
        <v>7043.75</v>
      </c>
      <c r="Q34" s="78" t="s">
        <v>0</v>
      </c>
      <c r="R34" s="78">
        <f>AVERAGE(R3:R30)</f>
        <v>5162.5</v>
      </c>
      <c r="S34" s="78">
        <f>AVERAGE(S3:S30)</f>
        <v>8275</v>
      </c>
      <c r="T34" s="78">
        <f>AVERAGE(T3:T30)</f>
        <v>5543.75</v>
      </c>
      <c r="U34" s="78">
        <f>AVERAGE(U3:U30)</f>
        <v>2362.5000000000005</v>
      </c>
      <c r="V34" s="16"/>
    </row>
    <row r="35" spans="1:22" s="7" customFormat="1">
      <c r="B35" s="7" t="s">
        <v>23</v>
      </c>
      <c r="C35" s="67">
        <f>STDEV(C3:C33)</f>
        <v>536.2056654281007</v>
      </c>
      <c r="D35" s="13">
        <f>STDEV(D3:D32)</f>
        <v>1.8645790871973742</v>
      </c>
      <c r="E35" s="75">
        <f>STDEV(E3:E32)</f>
        <v>210.52589869892137</v>
      </c>
      <c r="F35" s="18" t="s">
        <v>23</v>
      </c>
      <c r="G35" s="67">
        <f>STDEV(G3:G32)</f>
        <v>76.514810251345807</v>
      </c>
      <c r="H35" s="67">
        <f>STDEV(H3:H33)</f>
        <v>1589.7577963087804</v>
      </c>
      <c r="I35" s="8"/>
      <c r="J35" s="14">
        <f>STDEV(J3:J32)</f>
        <v>0.2350217472381585</v>
      </c>
      <c r="K35" s="14">
        <f>STDEV(K3:K32)</f>
        <v>5.5738511006263876E-2</v>
      </c>
      <c r="L35" s="21"/>
      <c r="M35" s="76"/>
      <c r="N35" s="15">
        <f>STDEV(N3:N30)</f>
        <v>4.7970182777691765E-2</v>
      </c>
      <c r="O35" s="18" t="s">
        <v>23</v>
      </c>
      <c r="P35" s="78">
        <f>STDEV(P3:P30)</f>
        <v>97.227182413150288</v>
      </c>
      <c r="Q35" s="78" t="s">
        <v>0</v>
      </c>
      <c r="R35" s="78">
        <f>STDEV(R3:R30)</f>
        <v>512.652416360247</v>
      </c>
      <c r="S35" s="78">
        <f>STDEV(S3:S30)</f>
        <v>318.19805153394577</v>
      </c>
      <c r="T35" s="78">
        <f>STDEV(T3:T30)</f>
        <v>79.549512883486599</v>
      </c>
      <c r="U35" s="78">
        <f>STDEV(U3:U30)</f>
        <v>300.52038200428336</v>
      </c>
      <c r="V35" s="16"/>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workbookViewId="0">
      <selection sqref="A1:XFD1048576"/>
    </sheetView>
  </sheetViews>
  <sheetFormatPr baseColWidth="10" defaultRowHeight="15" x14ac:dyDescent="0"/>
  <cols>
    <col min="1" max="1" width="11.6640625" customWidth="1"/>
    <col min="2" max="2" width="6.33203125" customWidth="1"/>
    <col min="3" max="3" width="10.83203125" style="66"/>
    <col min="4" max="4" width="10.83203125" style="2"/>
    <col min="5" max="5" width="10.83203125" style="22"/>
    <col min="6" max="6" width="4.6640625" style="2" customWidth="1"/>
    <col min="7" max="8" width="10.83203125" style="65"/>
    <col min="9" max="9" width="5" customWidth="1"/>
    <col min="10" max="10" width="10.6640625" style="3" customWidth="1"/>
    <col min="11" max="11" width="8" style="3" customWidth="1"/>
    <col min="12" max="12" width="4.6640625" style="22" customWidth="1"/>
    <col min="13" max="14" width="10.83203125" style="5"/>
    <col min="15" max="15" width="5.1640625" customWidth="1"/>
    <col min="16" max="18" width="10.83203125" style="66"/>
    <col min="19" max="21" width="8.6640625" style="66" customWidth="1"/>
    <col min="22" max="22" width="8.6640625" style="6" customWidth="1"/>
    <col min="23" max="24" width="9.83203125" customWidth="1"/>
  </cols>
  <sheetData>
    <row r="1" spans="1:26" s="9" customFormat="1" ht="18">
      <c r="A1" s="9" t="s">
        <v>33</v>
      </c>
      <c r="C1" s="63"/>
      <c r="D1" s="12"/>
      <c r="E1" s="19"/>
      <c r="F1" s="12"/>
      <c r="G1" s="70"/>
      <c r="H1" s="70"/>
      <c r="J1" s="72"/>
      <c r="K1" s="72"/>
      <c r="L1" s="19"/>
      <c r="M1" s="68"/>
      <c r="N1" s="68"/>
      <c r="P1" s="63"/>
      <c r="Q1" s="63"/>
      <c r="R1" s="63"/>
      <c r="S1" s="63"/>
      <c r="T1" s="63"/>
      <c r="U1" s="63"/>
      <c r="V1" s="11"/>
    </row>
    <row r="2" spans="1:26" s="23" customFormat="1" ht="60">
      <c r="A2" s="23" t="s">
        <v>12</v>
      </c>
      <c r="B2" s="24" t="s">
        <v>34</v>
      </c>
      <c r="C2" s="64" t="s">
        <v>28</v>
      </c>
      <c r="D2" s="26" t="s">
        <v>9</v>
      </c>
      <c r="E2" s="74" t="s">
        <v>10</v>
      </c>
      <c r="F2" s="27" t="s">
        <v>24</v>
      </c>
      <c r="G2" s="71" t="s">
        <v>29</v>
      </c>
      <c r="H2" s="71" t="s">
        <v>30</v>
      </c>
      <c r="I2" s="27" t="s">
        <v>24</v>
      </c>
      <c r="J2" s="28" t="s">
        <v>1</v>
      </c>
      <c r="K2" s="28" t="s">
        <v>11</v>
      </c>
      <c r="L2" s="30" t="s">
        <v>24</v>
      </c>
      <c r="M2" s="69" t="s">
        <v>13</v>
      </c>
      <c r="N2" s="69" t="s">
        <v>14</v>
      </c>
      <c r="O2" s="27" t="s">
        <v>24</v>
      </c>
      <c r="P2" s="77" t="s">
        <v>15</v>
      </c>
      <c r="Q2" s="77" t="s">
        <v>16</v>
      </c>
      <c r="R2" s="77" t="s">
        <v>17</v>
      </c>
      <c r="S2" s="77" t="s">
        <v>18</v>
      </c>
      <c r="T2" s="77" t="s">
        <v>19</v>
      </c>
      <c r="U2" s="77" t="s">
        <v>20</v>
      </c>
      <c r="V2" s="32"/>
      <c r="W2" s="23" t="s">
        <v>5</v>
      </c>
      <c r="X2" s="23" t="s">
        <v>6</v>
      </c>
      <c r="Y2" s="23" t="s">
        <v>7</v>
      </c>
      <c r="Z2" s="23" t="s">
        <v>8</v>
      </c>
    </row>
    <row r="3" spans="1:26" ht="14" customHeight="1">
      <c r="B3" s="20">
        <v>1</v>
      </c>
      <c r="C3" s="65"/>
      <c r="D3" s="73"/>
      <c r="E3" s="4"/>
      <c r="F3" s="20">
        <v>1</v>
      </c>
      <c r="I3" s="20">
        <v>1</v>
      </c>
      <c r="L3" s="20">
        <v>1</v>
      </c>
      <c r="O3" s="20">
        <v>1</v>
      </c>
      <c r="P3" s="65"/>
      <c r="Q3" s="65"/>
      <c r="R3" s="65"/>
      <c r="S3" s="65"/>
      <c r="T3" s="65"/>
      <c r="U3" s="65"/>
    </row>
    <row r="4" spans="1:26" ht="14" customHeight="1">
      <c r="B4" s="20">
        <v>2</v>
      </c>
      <c r="C4" s="65"/>
      <c r="D4" s="73"/>
      <c r="E4" s="4"/>
      <c r="F4" s="20">
        <v>2</v>
      </c>
      <c r="I4" s="20">
        <v>2</v>
      </c>
      <c r="L4" s="20">
        <v>2</v>
      </c>
      <c r="O4" s="20">
        <v>2</v>
      </c>
      <c r="P4" s="65"/>
      <c r="Q4" s="65"/>
      <c r="R4" s="65"/>
      <c r="S4" s="65"/>
      <c r="T4" s="65"/>
      <c r="U4" s="65"/>
    </row>
    <row r="5" spans="1:26" ht="14" customHeight="1">
      <c r="B5" s="20">
        <v>3</v>
      </c>
      <c r="C5" s="65"/>
      <c r="D5" s="73"/>
      <c r="E5" s="4"/>
      <c r="F5" s="20">
        <v>3</v>
      </c>
      <c r="I5" s="20">
        <v>3</v>
      </c>
      <c r="L5" s="20">
        <v>3</v>
      </c>
      <c r="O5" s="20">
        <v>3</v>
      </c>
      <c r="P5" s="65"/>
      <c r="Q5" s="65"/>
      <c r="R5" s="65"/>
      <c r="S5" s="65"/>
      <c r="T5" s="65"/>
      <c r="U5" s="65"/>
    </row>
    <row r="6" spans="1:26" ht="14" customHeight="1">
      <c r="B6" s="20">
        <v>4</v>
      </c>
      <c r="C6" s="65"/>
      <c r="D6" s="73"/>
      <c r="E6" s="4"/>
      <c r="F6" s="20">
        <v>4</v>
      </c>
      <c r="I6" s="20">
        <v>4</v>
      </c>
      <c r="L6" s="20">
        <v>4</v>
      </c>
      <c r="O6" s="20">
        <v>4</v>
      </c>
      <c r="P6" s="65"/>
      <c r="Q6" s="65"/>
      <c r="R6" s="65"/>
      <c r="S6" s="65"/>
      <c r="T6" s="65"/>
      <c r="U6" s="65"/>
    </row>
    <row r="7" spans="1:26" ht="14" customHeight="1">
      <c r="B7" s="20">
        <v>5</v>
      </c>
      <c r="C7" s="65"/>
      <c r="D7" s="73"/>
      <c r="E7" s="4"/>
      <c r="F7" s="20">
        <v>5</v>
      </c>
      <c r="I7" s="20">
        <v>5</v>
      </c>
      <c r="L7" s="20">
        <v>5</v>
      </c>
      <c r="O7" s="20">
        <v>5</v>
      </c>
      <c r="P7" s="65"/>
      <c r="Q7" s="65"/>
      <c r="R7" s="65"/>
      <c r="S7" s="65"/>
      <c r="T7" s="65"/>
      <c r="U7" s="65"/>
    </row>
    <row r="8" spans="1:26" ht="14" customHeight="1">
      <c r="B8" s="20">
        <v>6</v>
      </c>
      <c r="C8" s="65"/>
      <c r="D8" s="73"/>
      <c r="E8" s="4"/>
      <c r="F8" s="20">
        <v>6</v>
      </c>
      <c r="I8" s="20">
        <v>6</v>
      </c>
      <c r="L8" s="20">
        <v>6</v>
      </c>
      <c r="O8" s="20">
        <v>6</v>
      </c>
      <c r="P8" s="65"/>
      <c r="Q8" s="65"/>
      <c r="R8" s="65"/>
      <c r="S8" s="65"/>
      <c r="T8" s="65"/>
      <c r="U8" s="65"/>
    </row>
    <row r="9" spans="1:26" ht="14" customHeight="1">
      <c r="B9" s="20">
        <v>7</v>
      </c>
      <c r="C9" s="65"/>
      <c r="D9" s="73"/>
      <c r="E9" s="4"/>
      <c r="F9" s="20">
        <v>7</v>
      </c>
      <c r="I9" s="20">
        <v>7</v>
      </c>
      <c r="L9" s="20">
        <v>7</v>
      </c>
      <c r="O9" s="20">
        <v>7</v>
      </c>
      <c r="P9" s="65"/>
      <c r="Q9" s="65"/>
      <c r="R9" s="65"/>
      <c r="S9" s="65"/>
      <c r="T9" s="65"/>
      <c r="U9" s="65"/>
    </row>
    <row r="10" spans="1:26" ht="14" customHeight="1">
      <c r="B10" s="20">
        <v>8</v>
      </c>
      <c r="C10" s="65"/>
      <c r="D10" s="73"/>
      <c r="E10" s="4"/>
      <c r="F10" s="20">
        <v>8</v>
      </c>
      <c r="I10" s="20">
        <v>8</v>
      </c>
      <c r="L10" s="20">
        <v>8</v>
      </c>
      <c r="O10" s="20">
        <v>8</v>
      </c>
      <c r="P10" s="65"/>
      <c r="Q10" s="65"/>
      <c r="R10" s="65"/>
      <c r="S10" s="65"/>
      <c r="T10" s="65"/>
      <c r="U10" s="65"/>
    </row>
    <row r="11" spans="1:26" ht="14" customHeight="1">
      <c r="B11" s="20">
        <v>9</v>
      </c>
      <c r="C11" s="65"/>
      <c r="D11" s="73"/>
      <c r="E11" s="4"/>
      <c r="F11" s="20">
        <v>9</v>
      </c>
      <c r="I11" s="20">
        <v>9</v>
      </c>
      <c r="L11" s="20">
        <v>9</v>
      </c>
      <c r="O11" s="20">
        <v>9</v>
      </c>
      <c r="P11" s="65"/>
      <c r="Q11" s="65"/>
      <c r="R11" s="65"/>
      <c r="S11" s="65"/>
      <c r="T11" s="65"/>
      <c r="U11" s="65"/>
    </row>
    <row r="12" spans="1:26" ht="14" customHeight="1">
      <c r="B12" s="20">
        <v>10</v>
      </c>
      <c r="C12" s="65"/>
      <c r="D12" s="73"/>
      <c r="E12" s="4"/>
      <c r="F12" s="20">
        <v>10</v>
      </c>
      <c r="I12" s="20">
        <v>10</v>
      </c>
      <c r="L12" s="20">
        <v>10</v>
      </c>
      <c r="O12" s="20">
        <v>10</v>
      </c>
      <c r="P12" s="65"/>
      <c r="Q12" s="65"/>
      <c r="R12" s="65"/>
      <c r="S12" s="65"/>
      <c r="T12" s="65"/>
      <c r="U12" s="65"/>
    </row>
    <row r="13" spans="1:26" ht="14" customHeight="1">
      <c r="B13" s="20">
        <v>11</v>
      </c>
      <c r="C13" s="65"/>
      <c r="D13" s="73"/>
      <c r="E13" s="4"/>
      <c r="F13" s="20">
        <v>11</v>
      </c>
      <c r="I13" s="20">
        <v>11</v>
      </c>
      <c r="L13" s="20">
        <v>11</v>
      </c>
      <c r="O13" s="20">
        <v>11</v>
      </c>
      <c r="P13" s="65"/>
      <c r="Q13" s="65"/>
      <c r="R13" s="65"/>
      <c r="S13" s="65"/>
      <c r="T13" s="65"/>
      <c r="U13" s="65"/>
    </row>
    <row r="14" spans="1:26" ht="14" customHeight="1">
      <c r="B14" s="20">
        <v>12</v>
      </c>
      <c r="C14" s="65"/>
      <c r="D14" s="73"/>
      <c r="E14" s="4"/>
      <c r="F14" s="20">
        <v>12</v>
      </c>
      <c r="I14" s="20">
        <v>12</v>
      </c>
      <c r="L14" s="20">
        <v>12</v>
      </c>
      <c r="O14" s="20">
        <v>12</v>
      </c>
      <c r="P14" s="65"/>
      <c r="Q14" s="65"/>
      <c r="R14" s="65"/>
      <c r="S14" s="65"/>
      <c r="T14" s="65"/>
      <c r="U14" s="65"/>
    </row>
    <row r="15" spans="1:26" ht="14" customHeight="1">
      <c r="B15" s="20">
        <v>13</v>
      </c>
      <c r="C15" s="65"/>
      <c r="D15" s="73"/>
      <c r="E15" s="4"/>
      <c r="F15" s="20">
        <v>13</v>
      </c>
      <c r="I15" s="20">
        <v>13</v>
      </c>
      <c r="L15" s="20">
        <v>13</v>
      </c>
      <c r="O15" s="20">
        <v>13</v>
      </c>
      <c r="P15" s="65"/>
      <c r="Q15" s="65"/>
      <c r="R15" s="65"/>
      <c r="S15" s="65"/>
      <c r="T15" s="65"/>
      <c r="U15" s="65"/>
    </row>
    <row r="16" spans="1:26" ht="14" customHeight="1">
      <c r="B16" s="20">
        <v>14</v>
      </c>
      <c r="C16" s="65"/>
      <c r="D16" s="73"/>
      <c r="E16" s="4"/>
      <c r="F16" s="20">
        <v>14</v>
      </c>
      <c r="I16" s="20">
        <v>14</v>
      </c>
      <c r="L16" s="20">
        <v>14</v>
      </c>
      <c r="O16" s="20">
        <v>14</v>
      </c>
      <c r="P16" s="65"/>
      <c r="Q16" s="65"/>
      <c r="R16" s="65"/>
      <c r="S16" s="65"/>
      <c r="T16" s="65"/>
      <c r="U16" s="65"/>
    </row>
    <row r="17" spans="2:21" customFormat="1" ht="14" customHeight="1">
      <c r="B17" s="20">
        <v>15</v>
      </c>
      <c r="C17" s="65"/>
      <c r="D17" s="73"/>
      <c r="E17" s="4"/>
      <c r="F17" s="20">
        <v>15</v>
      </c>
      <c r="G17" s="65"/>
      <c r="H17" s="65"/>
      <c r="I17" s="20">
        <v>15</v>
      </c>
      <c r="J17" s="3"/>
      <c r="K17" s="3"/>
      <c r="L17" s="20">
        <v>15</v>
      </c>
      <c r="M17" s="5"/>
      <c r="N17" s="5"/>
      <c r="O17" s="20">
        <v>15</v>
      </c>
      <c r="P17" s="65"/>
      <c r="Q17" s="65"/>
      <c r="R17" s="65"/>
      <c r="S17" s="65"/>
      <c r="T17" s="65"/>
      <c r="U17" s="65"/>
    </row>
    <row r="18" spans="2:21" customFormat="1" ht="14" customHeight="1">
      <c r="B18" s="20">
        <v>16</v>
      </c>
      <c r="C18" s="65"/>
      <c r="D18" s="73"/>
      <c r="E18" s="4"/>
      <c r="F18" s="20">
        <v>16</v>
      </c>
      <c r="G18" s="65"/>
      <c r="H18" s="65"/>
      <c r="I18" s="20">
        <v>16</v>
      </c>
      <c r="J18" s="3"/>
      <c r="K18" s="3"/>
      <c r="L18" s="20">
        <v>16</v>
      </c>
      <c r="M18" s="5"/>
      <c r="N18" s="5"/>
      <c r="O18" s="20">
        <v>16</v>
      </c>
      <c r="P18" s="65"/>
      <c r="Q18" s="65"/>
      <c r="R18" s="65"/>
      <c r="S18" s="65"/>
      <c r="T18" s="65"/>
      <c r="U18" s="65"/>
    </row>
    <row r="19" spans="2:21" customFormat="1" ht="14" customHeight="1">
      <c r="B19" s="20">
        <v>17</v>
      </c>
      <c r="C19" s="65"/>
      <c r="D19" s="73"/>
      <c r="E19" s="4"/>
      <c r="F19" s="20">
        <v>17</v>
      </c>
      <c r="G19" s="65"/>
      <c r="H19" s="65"/>
      <c r="I19" s="20">
        <v>17</v>
      </c>
      <c r="J19" s="3"/>
      <c r="K19" s="3"/>
      <c r="L19" s="20">
        <v>17</v>
      </c>
      <c r="M19" s="5"/>
      <c r="N19" s="5"/>
      <c r="O19" s="20">
        <v>17</v>
      </c>
      <c r="P19" s="65"/>
      <c r="Q19" s="65"/>
      <c r="R19" s="65"/>
      <c r="S19" s="65"/>
      <c r="T19" s="65"/>
      <c r="U19" s="65"/>
    </row>
    <row r="20" spans="2:21" customFormat="1" ht="14" customHeight="1">
      <c r="B20" s="20">
        <v>18</v>
      </c>
      <c r="C20" s="65"/>
      <c r="D20" s="73"/>
      <c r="E20" s="4"/>
      <c r="F20" s="20">
        <v>18</v>
      </c>
      <c r="G20" s="65"/>
      <c r="H20" s="65"/>
      <c r="I20" s="20">
        <v>18</v>
      </c>
      <c r="J20" s="3"/>
      <c r="K20" s="3"/>
      <c r="L20" s="20">
        <v>18</v>
      </c>
      <c r="M20" s="5"/>
      <c r="N20" s="5"/>
      <c r="O20" s="20">
        <v>18</v>
      </c>
      <c r="P20" s="65"/>
      <c r="Q20" s="65"/>
      <c r="R20" s="65"/>
      <c r="S20" s="65"/>
      <c r="T20" s="65"/>
      <c r="U20" s="65"/>
    </row>
    <row r="21" spans="2:21" customFormat="1" ht="14" customHeight="1">
      <c r="B21" s="20">
        <v>19</v>
      </c>
      <c r="C21" s="65"/>
      <c r="D21" s="73"/>
      <c r="E21" s="4"/>
      <c r="F21" s="20">
        <v>19</v>
      </c>
      <c r="G21" s="65"/>
      <c r="H21" s="65"/>
      <c r="I21" s="20">
        <v>19</v>
      </c>
      <c r="J21" s="3"/>
      <c r="K21" s="3"/>
      <c r="L21" s="20">
        <v>19</v>
      </c>
      <c r="M21" s="5"/>
      <c r="N21" s="5"/>
      <c r="O21" s="20">
        <v>19</v>
      </c>
      <c r="P21" s="65"/>
      <c r="Q21" s="65"/>
      <c r="R21" s="65"/>
      <c r="S21" s="65"/>
      <c r="T21" s="65"/>
      <c r="U21" s="65"/>
    </row>
    <row r="22" spans="2:21" customFormat="1" ht="14" customHeight="1">
      <c r="B22" s="20">
        <v>20</v>
      </c>
      <c r="C22" s="65"/>
      <c r="D22" s="73"/>
      <c r="E22" s="4"/>
      <c r="F22" s="20">
        <v>20</v>
      </c>
      <c r="G22" s="65"/>
      <c r="H22" s="65"/>
      <c r="I22" s="20">
        <v>20</v>
      </c>
      <c r="J22" s="3"/>
      <c r="K22" s="3"/>
      <c r="L22" s="20">
        <v>20</v>
      </c>
      <c r="M22" s="5"/>
      <c r="N22" s="5"/>
      <c r="O22" s="20">
        <v>20</v>
      </c>
      <c r="P22" s="65"/>
      <c r="Q22" s="65"/>
      <c r="R22" s="65"/>
      <c r="S22" s="65"/>
      <c r="T22" s="65"/>
      <c r="U22" s="65"/>
    </row>
    <row r="23" spans="2:21" customFormat="1" ht="14" customHeight="1">
      <c r="B23" s="20">
        <v>21</v>
      </c>
      <c r="C23" s="65"/>
      <c r="D23" s="73"/>
      <c r="E23" s="4"/>
      <c r="F23" s="20">
        <v>21</v>
      </c>
      <c r="G23" s="65"/>
      <c r="H23" s="65"/>
      <c r="I23" s="20">
        <v>21</v>
      </c>
      <c r="J23" s="3"/>
      <c r="K23" s="3"/>
      <c r="L23" s="20">
        <v>21</v>
      </c>
      <c r="M23" s="5"/>
      <c r="N23" s="5"/>
      <c r="O23" s="20">
        <v>21</v>
      </c>
      <c r="P23" s="65"/>
      <c r="Q23" s="65"/>
      <c r="R23" s="65"/>
      <c r="S23" s="65"/>
      <c r="T23" s="65"/>
      <c r="U23" s="65"/>
    </row>
    <row r="24" spans="2:21" customFormat="1" ht="14" customHeight="1">
      <c r="B24" s="20">
        <v>22</v>
      </c>
      <c r="C24" s="65"/>
      <c r="D24" s="73"/>
      <c r="E24" s="4"/>
      <c r="F24" s="20">
        <v>22</v>
      </c>
      <c r="G24" s="65"/>
      <c r="H24" s="65"/>
      <c r="I24" s="20">
        <v>22</v>
      </c>
      <c r="J24" s="3"/>
      <c r="K24" s="3"/>
      <c r="L24" s="20">
        <v>22</v>
      </c>
      <c r="M24" s="5"/>
      <c r="N24" s="5"/>
      <c r="O24" s="20">
        <v>22</v>
      </c>
      <c r="P24" s="65"/>
      <c r="Q24" s="65"/>
      <c r="R24" s="65"/>
      <c r="S24" s="65"/>
      <c r="T24" s="65"/>
      <c r="U24" s="65"/>
    </row>
    <row r="25" spans="2:21" customFormat="1" ht="14" customHeight="1">
      <c r="B25" s="20">
        <v>23</v>
      </c>
      <c r="C25" s="65"/>
      <c r="D25" s="73"/>
      <c r="E25" s="4"/>
      <c r="F25" s="20">
        <v>23</v>
      </c>
      <c r="G25" s="65"/>
      <c r="H25" s="65"/>
      <c r="I25" s="20">
        <v>23</v>
      </c>
      <c r="J25" s="3"/>
      <c r="K25" s="3"/>
      <c r="L25" s="20">
        <v>23</v>
      </c>
      <c r="M25" s="5"/>
      <c r="N25" s="5"/>
      <c r="O25" s="20">
        <v>23</v>
      </c>
      <c r="P25" s="65"/>
      <c r="Q25" s="65"/>
      <c r="R25" s="65"/>
      <c r="S25" s="65"/>
      <c r="T25" s="65"/>
      <c r="U25" s="65"/>
    </row>
    <row r="26" spans="2:21" customFormat="1" ht="14" customHeight="1">
      <c r="B26" s="20">
        <v>24</v>
      </c>
      <c r="C26" s="65"/>
      <c r="D26" s="73"/>
      <c r="E26" s="4"/>
      <c r="F26" s="20">
        <v>24</v>
      </c>
      <c r="G26" s="65"/>
      <c r="H26" s="65"/>
      <c r="I26" s="20">
        <v>24</v>
      </c>
      <c r="J26" s="3"/>
      <c r="K26" s="3"/>
      <c r="L26" s="20">
        <v>24</v>
      </c>
      <c r="M26" s="5"/>
      <c r="N26" s="5"/>
      <c r="O26" s="20">
        <v>24</v>
      </c>
      <c r="P26" s="65"/>
      <c r="Q26" s="65"/>
      <c r="R26" s="65"/>
      <c r="S26" s="65"/>
      <c r="T26" s="65"/>
      <c r="U26" s="65"/>
    </row>
    <row r="27" spans="2:21" customFormat="1" ht="14" customHeight="1">
      <c r="B27" s="20">
        <v>25</v>
      </c>
      <c r="C27" s="65"/>
      <c r="D27" s="73"/>
      <c r="E27" s="4"/>
      <c r="F27" s="20">
        <v>25</v>
      </c>
      <c r="G27" s="65"/>
      <c r="H27" s="65"/>
      <c r="I27" s="20">
        <v>25</v>
      </c>
      <c r="J27" s="3"/>
      <c r="K27" s="3"/>
      <c r="L27" s="20">
        <v>25</v>
      </c>
      <c r="M27" s="5"/>
      <c r="N27" s="5"/>
      <c r="O27" s="20">
        <v>25</v>
      </c>
      <c r="P27" s="65"/>
      <c r="Q27" s="65"/>
      <c r="R27" s="65"/>
      <c r="S27" s="65"/>
      <c r="T27" s="65"/>
      <c r="U27" s="65"/>
    </row>
    <row r="28" spans="2:21" customFormat="1" ht="14" customHeight="1">
      <c r="B28" s="20">
        <v>26</v>
      </c>
      <c r="C28" s="65"/>
      <c r="D28" s="73"/>
      <c r="E28" s="4"/>
      <c r="F28" s="20">
        <v>26</v>
      </c>
      <c r="G28" s="65"/>
      <c r="H28" s="65"/>
      <c r="I28" s="20">
        <v>26</v>
      </c>
      <c r="J28" s="3"/>
      <c r="K28" s="3"/>
      <c r="L28" s="20">
        <v>26</v>
      </c>
      <c r="M28" s="5"/>
      <c r="N28" s="5"/>
      <c r="O28" s="20">
        <v>26</v>
      </c>
      <c r="P28" s="65"/>
      <c r="Q28" s="65"/>
      <c r="R28" s="65"/>
      <c r="S28" s="65"/>
      <c r="T28" s="65"/>
      <c r="U28" s="65"/>
    </row>
    <row r="29" spans="2:21" customFormat="1" ht="14" customHeight="1">
      <c r="B29" s="20">
        <v>27</v>
      </c>
      <c r="C29" s="65"/>
      <c r="D29" s="73"/>
      <c r="E29" s="4"/>
      <c r="F29" s="20">
        <v>27</v>
      </c>
      <c r="G29" s="65"/>
      <c r="H29" s="65"/>
      <c r="I29" s="20">
        <v>27</v>
      </c>
      <c r="J29" s="3"/>
      <c r="K29" s="3"/>
      <c r="L29" s="20">
        <v>27</v>
      </c>
      <c r="M29" s="5"/>
      <c r="N29" s="5"/>
      <c r="O29" s="20">
        <v>27</v>
      </c>
      <c r="P29" s="65"/>
      <c r="Q29" s="65"/>
      <c r="R29" s="65"/>
      <c r="S29" s="65"/>
      <c r="T29" s="65"/>
      <c r="U29" s="65"/>
    </row>
    <row r="30" spans="2:21" customFormat="1" ht="14" customHeight="1">
      <c r="B30" s="20">
        <v>28</v>
      </c>
      <c r="C30" s="65"/>
      <c r="D30" s="73"/>
      <c r="E30" s="4"/>
      <c r="F30" s="20">
        <v>28</v>
      </c>
      <c r="G30" s="65"/>
      <c r="H30" s="65"/>
      <c r="I30" s="20">
        <v>28</v>
      </c>
      <c r="J30" s="3"/>
      <c r="K30" s="3"/>
      <c r="L30" s="20">
        <v>28</v>
      </c>
      <c r="M30" s="5"/>
      <c r="N30" s="5"/>
      <c r="O30" s="20">
        <v>28</v>
      </c>
      <c r="P30" s="65"/>
      <c r="Q30" s="65"/>
      <c r="R30" s="65"/>
      <c r="S30" s="65"/>
      <c r="T30" s="65"/>
      <c r="U30" s="65"/>
    </row>
    <row r="31" spans="2:21" customFormat="1">
      <c r="B31" s="20">
        <v>29</v>
      </c>
      <c r="C31" s="65"/>
      <c r="D31" s="73"/>
      <c r="E31" s="4"/>
      <c r="F31" s="20">
        <v>29</v>
      </c>
      <c r="G31" s="65"/>
      <c r="H31" s="65"/>
      <c r="I31" s="20">
        <v>29</v>
      </c>
      <c r="J31" s="3"/>
      <c r="K31" s="3"/>
      <c r="L31" s="20">
        <v>29</v>
      </c>
      <c r="M31" s="5"/>
      <c r="N31" s="5"/>
      <c r="O31" s="20">
        <v>29</v>
      </c>
      <c r="P31" s="65"/>
      <c r="Q31" s="65"/>
      <c r="R31" s="65"/>
      <c r="S31" s="65"/>
      <c r="T31" s="65"/>
      <c r="U31" s="65"/>
    </row>
    <row r="32" spans="2:21" customFormat="1">
      <c r="B32" s="20">
        <v>30</v>
      </c>
      <c r="C32" s="65"/>
      <c r="D32" s="73"/>
      <c r="E32" s="4"/>
      <c r="F32" s="20">
        <v>30</v>
      </c>
      <c r="G32" s="65"/>
      <c r="H32" s="65"/>
      <c r="I32" s="20">
        <v>30</v>
      </c>
      <c r="J32" s="3"/>
      <c r="K32" s="3"/>
      <c r="L32" s="20">
        <v>30</v>
      </c>
      <c r="M32" s="5"/>
      <c r="N32" s="5"/>
      <c r="O32" s="20">
        <v>30</v>
      </c>
      <c r="P32" s="65"/>
      <c r="Q32" s="65"/>
      <c r="R32" s="65"/>
      <c r="S32" s="65"/>
      <c r="T32" s="65"/>
      <c r="U32" s="65"/>
    </row>
    <row r="33" spans="2:22">
      <c r="C33" s="66" t="s">
        <v>0</v>
      </c>
      <c r="F33" s="17"/>
      <c r="H33" s="65" t="s">
        <v>0</v>
      </c>
      <c r="L33" s="20"/>
      <c r="O33" s="17"/>
    </row>
    <row r="34" spans="2:22" s="7" customFormat="1">
      <c r="B34" s="7" t="s">
        <v>22</v>
      </c>
      <c r="C34" s="67" t="e">
        <f>AVERAGE(C3:C33)</f>
        <v>#DIV/0!</v>
      </c>
      <c r="D34" s="13" t="e">
        <f>AVERAGE(D3:D32)</f>
        <v>#DIV/0!</v>
      </c>
      <c r="E34" s="75" t="e">
        <f>AVERAGE(E3:E32)</f>
        <v>#DIV/0!</v>
      </c>
      <c r="F34" s="18" t="s">
        <v>22</v>
      </c>
      <c r="G34" s="67" t="e">
        <f>AVERAGE(G3:G32)</f>
        <v>#DIV/0!</v>
      </c>
      <c r="H34" s="67" t="e">
        <f>AVERAGE(H3:H33)</f>
        <v>#DIV/0!</v>
      </c>
      <c r="I34" s="8"/>
      <c r="J34" s="14" t="e">
        <f>AVERAGE(J3:J32)</f>
        <v>#DIV/0!</v>
      </c>
      <c r="K34" s="14" t="e">
        <f>AVERAGE(K3:K32)</f>
        <v>#DIV/0!</v>
      </c>
      <c r="L34" s="21"/>
      <c r="M34" s="76"/>
      <c r="N34" s="15" t="e">
        <f>AVERAGE(N3:N30)</f>
        <v>#DIV/0!</v>
      </c>
      <c r="O34" s="18" t="s">
        <v>22</v>
      </c>
      <c r="P34" s="78" t="e">
        <f>AVERAGE(P3:P30)</f>
        <v>#DIV/0!</v>
      </c>
      <c r="Q34" s="78" t="s">
        <v>0</v>
      </c>
      <c r="R34" s="78" t="e">
        <f>AVERAGE(R3:R30)</f>
        <v>#DIV/0!</v>
      </c>
      <c r="S34" s="78" t="e">
        <f>AVERAGE(S3:S30)</f>
        <v>#DIV/0!</v>
      </c>
      <c r="T34" s="78" t="e">
        <f>AVERAGE(T3:T30)</f>
        <v>#DIV/0!</v>
      </c>
      <c r="U34" s="78" t="e">
        <f>AVERAGE(U3:U30)</f>
        <v>#DIV/0!</v>
      </c>
      <c r="V34" s="16"/>
    </row>
    <row r="35" spans="2:22" s="7" customFormat="1">
      <c r="B35" s="7" t="s">
        <v>23</v>
      </c>
      <c r="C35" s="67" t="e">
        <f>STDEV(C3:C33)</f>
        <v>#DIV/0!</v>
      </c>
      <c r="D35" s="13" t="e">
        <f>STDEV(D3:D32)</f>
        <v>#DIV/0!</v>
      </c>
      <c r="E35" s="75" t="e">
        <f>STDEV(E3:E32)</f>
        <v>#DIV/0!</v>
      </c>
      <c r="F35" s="18" t="s">
        <v>23</v>
      </c>
      <c r="G35" s="67" t="e">
        <f>STDEV(G3:G32)</f>
        <v>#DIV/0!</v>
      </c>
      <c r="H35" s="67" t="e">
        <f>STDEV(H3:H33)</f>
        <v>#DIV/0!</v>
      </c>
      <c r="I35" s="8"/>
      <c r="J35" s="14" t="e">
        <f>STDEV(J3:J32)</f>
        <v>#DIV/0!</v>
      </c>
      <c r="K35" s="14" t="e">
        <f>STDEV(K3:K32)</f>
        <v>#DIV/0!</v>
      </c>
      <c r="L35" s="21"/>
      <c r="M35" s="76"/>
      <c r="N35" s="15" t="e">
        <f>STDEV(N3:N30)</f>
        <v>#DIV/0!</v>
      </c>
      <c r="O35" s="18" t="s">
        <v>23</v>
      </c>
      <c r="P35" s="78" t="e">
        <f>STDEV(P3:P30)</f>
        <v>#DIV/0!</v>
      </c>
      <c r="Q35" s="78" t="s">
        <v>0</v>
      </c>
      <c r="R35" s="78" t="e">
        <f>STDEV(R3:R30)</f>
        <v>#DIV/0!</v>
      </c>
      <c r="S35" s="78" t="e">
        <f>STDEV(S3:S30)</f>
        <v>#DIV/0!</v>
      </c>
      <c r="T35" s="78" t="e">
        <f>STDEV(T3:T30)</f>
        <v>#DIV/0!</v>
      </c>
      <c r="U35" s="78" t="e">
        <f>STDEV(U3:U30)</f>
        <v>#DIV/0!</v>
      </c>
      <c r="V35" s="16"/>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topLeftCell="K1" workbookViewId="0">
      <selection activeCell="X29" sqref="X29"/>
    </sheetView>
  </sheetViews>
  <sheetFormatPr baseColWidth="10" defaultRowHeight="15" x14ac:dyDescent="0"/>
  <cols>
    <col min="1" max="1" width="11.6640625" customWidth="1"/>
    <col min="2" max="2" width="6.33203125" customWidth="1"/>
    <col min="3" max="3" width="10.83203125" style="66"/>
    <col min="4" max="4" width="10.83203125" style="2"/>
    <col min="5" max="5" width="10.83203125" style="22"/>
    <col min="6" max="6" width="4.6640625" style="2" customWidth="1"/>
    <col min="7" max="8" width="10.83203125" style="65"/>
    <col min="9" max="9" width="5" customWidth="1"/>
    <col min="10" max="10" width="10.6640625" style="3" customWidth="1"/>
    <col min="11" max="11" width="8" style="3" customWidth="1"/>
    <col min="12" max="12" width="4.6640625" style="22" customWidth="1"/>
    <col min="13" max="14" width="10.83203125" style="5"/>
    <col min="15" max="15" width="5.1640625" customWidth="1"/>
    <col min="16" max="18" width="10.83203125" style="66"/>
    <col min="19" max="21" width="8.6640625" style="66" customWidth="1"/>
    <col min="22" max="22" width="8.6640625" style="6" customWidth="1"/>
    <col min="23" max="24" width="9.83203125" customWidth="1"/>
  </cols>
  <sheetData>
    <row r="1" spans="1:26" s="9" customFormat="1" ht="18">
      <c r="A1" s="9" t="s">
        <v>35</v>
      </c>
      <c r="C1" s="63"/>
      <c r="D1" s="12"/>
      <c r="E1" s="19"/>
      <c r="F1" s="12"/>
      <c r="G1" s="70"/>
      <c r="H1" s="70"/>
      <c r="J1" s="72"/>
      <c r="K1" s="72"/>
      <c r="L1" s="19"/>
      <c r="M1" s="68"/>
      <c r="N1" s="68"/>
      <c r="P1" s="63"/>
      <c r="Q1" s="63"/>
      <c r="R1" s="63"/>
      <c r="S1" s="63"/>
      <c r="T1" s="63"/>
      <c r="U1" s="63"/>
      <c r="V1" s="11"/>
    </row>
    <row r="2" spans="1:26" s="23" customFormat="1" ht="60">
      <c r="A2" s="23" t="s">
        <v>12</v>
      </c>
      <c r="B2" s="24" t="s">
        <v>36</v>
      </c>
      <c r="C2" s="64" t="s">
        <v>28</v>
      </c>
      <c r="D2" s="26" t="s">
        <v>9</v>
      </c>
      <c r="E2" s="74" t="s">
        <v>10</v>
      </c>
      <c r="F2" s="27" t="s">
        <v>24</v>
      </c>
      <c r="G2" s="71" t="s">
        <v>29</v>
      </c>
      <c r="H2" s="71" t="s">
        <v>30</v>
      </c>
      <c r="I2" s="27" t="s">
        <v>24</v>
      </c>
      <c r="J2" s="28" t="s">
        <v>1</v>
      </c>
      <c r="K2" s="28" t="s">
        <v>11</v>
      </c>
      <c r="L2" s="30" t="s">
        <v>24</v>
      </c>
      <c r="M2" s="69" t="s">
        <v>13</v>
      </c>
      <c r="N2" s="69" t="s">
        <v>14</v>
      </c>
      <c r="O2" s="27" t="s">
        <v>24</v>
      </c>
      <c r="P2" s="77" t="s">
        <v>15</v>
      </c>
      <c r="Q2" s="77" t="s">
        <v>16</v>
      </c>
      <c r="R2" s="77" t="s">
        <v>17</v>
      </c>
      <c r="S2" s="77" t="s">
        <v>18</v>
      </c>
      <c r="T2" s="77" t="s">
        <v>19</v>
      </c>
      <c r="U2" s="77" t="s">
        <v>20</v>
      </c>
      <c r="V2" s="32"/>
      <c r="W2" s="23" t="s">
        <v>5</v>
      </c>
      <c r="X2" s="23" t="s">
        <v>6</v>
      </c>
      <c r="Y2" s="23" t="s">
        <v>7</v>
      </c>
      <c r="Z2" s="23" t="s">
        <v>8</v>
      </c>
    </row>
    <row r="3" spans="1:26" ht="14" customHeight="1">
      <c r="B3" s="20">
        <v>1</v>
      </c>
      <c r="C3" s="65">
        <v>849.14285714285711</v>
      </c>
      <c r="D3" s="73">
        <v>55.7</v>
      </c>
      <c r="E3" s="4">
        <v>155</v>
      </c>
      <c r="F3" s="20">
        <v>1</v>
      </c>
      <c r="G3" s="65">
        <v>561.14285714285711</v>
      </c>
      <c r="H3" s="65">
        <v>2818.2857142857142</v>
      </c>
      <c r="I3" s="20">
        <v>1</v>
      </c>
      <c r="L3" s="20">
        <v>1</v>
      </c>
      <c r="O3" s="20">
        <v>1</v>
      </c>
      <c r="P3" s="65"/>
      <c r="Q3" s="65"/>
      <c r="R3" s="65"/>
      <c r="S3" s="65"/>
      <c r="T3" s="65"/>
      <c r="U3" s="65"/>
      <c r="W3">
        <v>7</v>
      </c>
      <c r="X3">
        <v>0</v>
      </c>
      <c r="Y3" s="65">
        <v>59657</v>
      </c>
      <c r="Z3" s="65">
        <v>997</v>
      </c>
    </row>
    <row r="4" spans="1:26" ht="14" customHeight="1">
      <c r="B4" s="20">
        <v>2</v>
      </c>
      <c r="C4" s="65">
        <v>869.81818181818176</v>
      </c>
      <c r="D4" s="73">
        <v>58.4</v>
      </c>
      <c r="E4" s="4">
        <v>130</v>
      </c>
      <c r="F4" s="20">
        <v>2</v>
      </c>
      <c r="G4" s="65">
        <v>577.93939393939388</v>
      </c>
      <c r="H4" s="65">
        <v>2736.4848484848485</v>
      </c>
      <c r="I4" s="20">
        <v>2</v>
      </c>
      <c r="J4" s="3">
        <v>6.1</v>
      </c>
      <c r="K4" s="3">
        <v>7.56</v>
      </c>
      <c r="L4" s="20">
        <v>2</v>
      </c>
      <c r="O4" s="20">
        <v>2</v>
      </c>
      <c r="P4" s="65"/>
      <c r="Q4" s="65"/>
      <c r="R4" s="65"/>
      <c r="S4" s="65"/>
      <c r="T4" s="65"/>
      <c r="U4" s="65"/>
      <c r="W4">
        <v>16</v>
      </c>
      <c r="X4">
        <v>0</v>
      </c>
      <c r="Y4" s="65">
        <v>60557</v>
      </c>
      <c r="Z4" s="65">
        <v>1005</v>
      </c>
    </row>
    <row r="5" spans="1:26" ht="14" customHeight="1">
      <c r="B5" s="20">
        <v>3</v>
      </c>
      <c r="C5" s="65">
        <v>784.94117647058818</v>
      </c>
      <c r="D5" s="73">
        <v>55.4</v>
      </c>
      <c r="E5" s="4">
        <v>110</v>
      </c>
      <c r="F5" s="20">
        <v>3</v>
      </c>
      <c r="G5" s="65">
        <v>587.29411764705878</v>
      </c>
      <c r="H5" s="65">
        <v>2535.5294117647059</v>
      </c>
      <c r="I5" s="20">
        <v>3</v>
      </c>
      <c r="J5" s="3">
        <v>6.19</v>
      </c>
      <c r="K5" s="3">
        <v>7.64</v>
      </c>
      <c r="L5" s="20">
        <v>3</v>
      </c>
      <c r="O5" s="20">
        <v>3</v>
      </c>
      <c r="P5" s="65"/>
      <c r="Q5" s="65"/>
      <c r="R5" s="65"/>
      <c r="S5" s="65"/>
      <c r="T5" s="65"/>
      <c r="U5" s="65"/>
      <c r="W5">
        <v>9</v>
      </c>
      <c r="X5">
        <v>0</v>
      </c>
      <c r="Y5" s="65">
        <v>61357</v>
      </c>
      <c r="Z5" s="65">
        <v>1013</v>
      </c>
    </row>
    <row r="6" spans="1:26" ht="14" customHeight="1">
      <c r="B6" s="20">
        <v>4</v>
      </c>
      <c r="C6" s="65">
        <v>782.81305638360777</v>
      </c>
      <c r="D6" s="73">
        <v>58.1</v>
      </c>
      <c r="E6" s="4">
        <v>125</v>
      </c>
      <c r="F6" s="20">
        <v>4</v>
      </c>
      <c r="G6" s="65">
        <v>560.61721068520387</v>
      </c>
      <c r="H6" s="65">
        <v>2486.8842730090601</v>
      </c>
      <c r="I6" s="20">
        <v>4</v>
      </c>
      <c r="J6" s="3">
        <v>6.28</v>
      </c>
      <c r="K6" s="3">
        <v>7.73</v>
      </c>
      <c r="L6" s="20">
        <v>4</v>
      </c>
      <c r="O6" s="20">
        <v>4</v>
      </c>
      <c r="P6" s="65"/>
      <c r="Q6" s="65"/>
      <c r="R6" s="65"/>
      <c r="S6" s="65"/>
      <c r="T6" s="65"/>
      <c r="U6" s="65"/>
      <c r="W6">
        <v>8</v>
      </c>
      <c r="X6" s="94">
        <v>4</v>
      </c>
      <c r="Y6" s="65">
        <v>62357</v>
      </c>
      <c r="Z6" s="65">
        <v>1021</v>
      </c>
    </row>
    <row r="7" spans="1:26" ht="14" customHeight="1">
      <c r="B7" s="20">
        <v>5</v>
      </c>
      <c r="C7" s="65">
        <v>625.80645161172811</v>
      </c>
      <c r="D7" s="73">
        <v>59.9</v>
      </c>
      <c r="E7" s="4">
        <v>70</v>
      </c>
      <c r="F7" s="20">
        <v>5</v>
      </c>
      <c r="G7" s="65">
        <v>535.4838709667365</v>
      </c>
      <c r="H7" s="65">
        <v>2201.2903225765117</v>
      </c>
      <c r="I7" s="20">
        <v>5</v>
      </c>
      <c r="J7" s="3">
        <v>6.16</v>
      </c>
      <c r="K7" s="3">
        <v>7.71</v>
      </c>
      <c r="L7" s="20">
        <v>5</v>
      </c>
      <c r="O7" s="20">
        <v>5</v>
      </c>
      <c r="P7" s="65"/>
      <c r="Q7" s="65"/>
      <c r="R7" s="65"/>
      <c r="S7" s="65"/>
      <c r="T7" s="65"/>
      <c r="U7" s="65"/>
      <c r="W7">
        <v>5</v>
      </c>
      <c r="X7">
        <v>0</v>
      </c>
      <c r="Y7" s="65">
        <v>62857</v>
      </c>
      <c r="Z7" s="65">
        <v>1026</v>
      </c>
    </row>
    <row r="8" spans="1:26" ht="14" customHeight="1">
      <c r="B8" s="20">
        <v>6</v>
      </c>
      <c r="C8" s="65">
        <v>571.3807531375187</v>
      </c>
      <c r="D8" s="73">
        <v>57.2</v>
      </c>
      <c r="E8" s="4">
        <v>100</v>
      </c>
      <c r="F8" s="20">
        <v>6</v>
      </c>
      <c r="G8" s="65">
        <v>580.41841004127559</v>
      </c>
      <c r="H8" s="65">
        <v>2013.3891213369507</v>
      </c>
      <c r="I8" s="20">
        <v>6</v>
      </c>
      <c r="J8" s="3">
        <v>6.08</v>
      </c>
      <c r="K8" s="3">
        <v>7.58</v>
      </c>
      <c r="L8" s="20">
        <v>6</v>
      </c>
      <c r="O8" s="20">
        <v>6</v>
      </c>
      <c r="P8" s="65"/>
      <c r="Q8" s="65"/>
      <c r="R8" s="65"/>
      <c r="S8" s="65"/>
      <c r="T8" s="65"/>
      <c r="U8" s="65"/>
      <c r="W8">
        <v>8</v>
      </c>
      <c r="X8">
        <v>0</v>
      </c>
      <c r="Y8" s="65">
        <v>63357</v>
      </c>
      <c r="Z8" s="65">
        <v>1032</v>
      </c>
    </row>
    <row r="9" spans="1:26" ht="14" customHeight="1">
      <c r="B9" s="20">
        <v>7</v>
      </c>
      <c r="C9" s="65">
        <v>726.80727272850345</v>
      </c>
      <c r="D9" s="73">
        <v>55.7</v>
      </c>
      <c r="E9" s="4">
        <v>75</v>
      </c>
      <c r="F9" s="20">
        <v>7</v>
      </c>
      <c r="G9" s="65">
        <v>549.81818181911285</v>
      </c>
      <c r="H9" s="65">
        <v>2482.0363636405664</v>
      </c>
      <c r="I9" s="20">
        <v>7</v>
      </c>
      <c r="J9" s="3">
        <v>6.11</v>
      </c>
      <c r="K9" s="3">
        <v>7.66</v>
      </c>
      <c r="L9" s="20">
        <v>7</v>
      </c>
      <c r="O9" s="20">
        <v>7</v>
      </c>
      <c r="P9" s="65"/>
      <c r="Q9" s="65"/>
      <c r="R9" s="65"/>
      <c r="S9" s="65"/>
      <c r="T9" s="65"/>
      <c r="U9" s="65"/>
      <c r="W9">
        <v>6</v>
      </c>
      <c r="X9">
        <v>0</v>
      </c>
      <c r="Y9" s="65">
        <v>64057</v>
      </c>
      <c r="Z9" s="65">
        <v>1039</v>
      </c>
    </row>
    <row r="10" spans="1:26" ht="14" customHeight="1">
      <c r="B10" s="20">
        <v>8</v>
      </c>
      <c r="C10" s="65">
        <v>548</v>
      </c>
      <c r="D10" s="73">
        <v>54.2</v>
      </c>
      <c r="E10" s="4">
        <v>95</v>
      </c>
      <c r="F10" s="20">
        <v>8</v>
      </c>
      <c r="G10" s="65">
        <v>538</v>
      </c>
      <c r="H10" s="65">
        <v>1930</v>
      </c>
      <c r="I10" s="20">
        <v>8</v>
      </c>
      <c r="J10" s="3">
        <v>6.11</v>
      </c>
      <c r="K10" s="3">
        <v>7.63</v>
      </c>
      <c r="L10" s="20">
        <v>8</v>
      </c>
      <c r="O10" s="20">
        <v>8</v>
      </c>
      <c r="P10" s="65"/>
      <c r="Q10" s="65"/>
      <c r="R10" s="65"/>
      <c r="S10" s="65"/>
      <c r="T10" s="65"/>
      <c r="U10" s="65"/>
      <c r="W10">
        <v>6</v>
      </c>
      <c r="X10">
        <v>0</v>
      </c>
      <c r="Y10" s="65">
        <v>64657</v>
      </c>
      <c r="Z10" s="65">
        <v>1045</v>
      </c>
    </row>
    <row r="11" spans="1:26" ht="14" customHeight="1">
      <c r="B11" s="20">
        <v>9</v>
      </c>
      <c r="C11" s="65">
        <v>414.48071216559936</v>
      </c>
      <c r="D11" s="73">
        <v>55.8</v>
      </c>
      <c r="E11" s="4">
        <v>105</v>
      </c>
      <c r="F11" s="20">
        <v>9</v>
      </c>
      <c r="G11" s="65">
        <v>582.8367952514202</v>
      </c>
      <c r="H11" s="65">
        <v>1414.3620178021999</v>
      </c>
      <c r="I11" s="20">
        <v>9</v>
      </c>
      <c r="J11" s="3">
        <v>6.23</v>
      </c>
      <c r="K11" s="3">
        <v>7.69</v>
      </c>
      <c r="L11" s="20">
        <v>9</v>
      </c>
      <c r="O11" s="20">
        <v>9</v>
      </c>
      <c r="P11" s="65"/>
      <c r="Q11" s="65"/>
      <c r="R11" s="65"/>
      <c r="S11" s="65"/>
      <c r="T11" s="65"/>
      <c r="U11" s="65"/>
      <c r="W11">
        <v>5</v>
      </c>
      <c r="X11" s="94">
        <v>34</v>
      </c>
      <c r="Y11" s="65">
        <v>65157</v>
      </c>
      <c r="Z11" s="65">
        <v>1050</v>
      </c>
    </row>
    <row r="12" spans="1:26" ht="14" customHeight="1">
      <c r="B12" s="20">
        <v>10</v>
      </c>
      <c r="C12" s="65">
        <v>950.44410413239029</v>
      </c>
      <c r="D12" s="73">
        <v>54.9</v>
      </c>
      <c r="E12" s="4">
        <v>170</v>
      </c>
      <c r="F12" s="20">
        <v>10</v>
      </c>
      <c r="G12" s="65">
        <v>605.32924961564072</v>
      </c>
      <c r="H12" s="65">
        <v>3060.8269525191599</v>
      </c>
      <c r="I12" s="20">
        <v>10</v>
      </c>
      <c r="J12" s="3">
        <v>6.27</v>
      </c>
      <c r="K12" s="3">
        <v>7.73</v>
      </c>
      <c r="L12" s="20">
        <v>10</v>
      </c>
      <c r="O12" s="20">
        <v>10</v>
      </c>
      <c r="P12" s="65"/>
      <c r="Q12" s="65"/>
      <c r="R12" s="65"/>
      <c r="S12" s="65"/>
      <c r="T12" s="65"/>
      <c r="U12" s="65"/>
      <c r="W12">
        <v>8</v>
      </c>
      <c r="X12">
        <v>0</v>
      </c>
      <c r="Y12" s="65">
        <v>66057</v>
      </c>
      <c r="Z12" s="65">
        <v>1058</v>
      </c>
    </row>
    <row r="13" spans="1:26" ht="14" customHeight="1">
      <c r="B13" s="20">
        <v>11</v>
      </c>
      <c r="C13" s="65">
        <v>831.83965640894235</v>
      </c>
      <c r="D13" s="73">
        <v>54.8</v>
      </c>
      <c r="E13" s="4">
        <v>180</v>
      </c>
      <c r="F13" s="20">
        <v>11</v>
      </c>
      <c r="G13" s="65">
        <v>593.72942018779531</v>
      </c>
      <c r="H13" s="65">
        <v>2945.9699355845814</v>
      </c>
      <c r="I13" s="20">
        <v>11</v>
      </c>
      <c r="J13" s="3">
        <v>6.14</v>
      </c>
      <c r="K13" s="3">
        <v>7.66</v>
      </c>
      <c r="L13" s="20">
        <v>11</v>
      </c>
      <c r="O13" s="20">
        <v>11</v>
      </c>
      <c r="P13" s="65"/>
      <c r="Q13" s="65"/>
      <c r="R13" s="65"/>
      <c r="S13" s="65"/>
      <c r="T13" s="65"/>
      <c r="U13" s="65"/>
      <c r="W13">
        <v>6</v>
      </c>
      <c r="X13">
        <v>0</v>
      </c>
      <c r="Y13" s="65">
        <v>66857</v>
      </c>
      <c r="Z13" s="65">
        <v>1066</v>
      </c>
    </row>
    <row r="14" spans="1:26" ht="14" customHeight="1">
      <c r="B14" s="20">
        <v>12</v>
      </c>
      <c r="C14" s="65">
        <v>1270.4023408896524</v>
      </c>
      <c r="D14" s="73">
        <v>53.9</v>
      </c>
      <c r="E14" s="4">
        <v>220</v>
      </c>
      <c r="F14" s="20">
        <v>12</v>
      </c>
      <c r="G14" s="65">
        <v>595.17190928909918</v>
      </c>
      <c r="H14" s="65">
        <v>3497.2933430793082</v>
      </c>
      <c r="I14" s="20">
        <v>12</v>
      </c>
      <c r="J14" s="3">
        <v>6.24</v>
      </c>
      <c r="K14" s="3">
        <v>7.57</v>
      </c>
      <c r="L14" s="20">
        <v>12</v>
      </c>
      <c r="O14" s="20">
        <v>12</v>
      </c>
      <c r="P14" s="65"/>
      <c r="Q14" s="65"/>
      <c r="R14" s="65"/>
      <c r="S14" s="65"/>
      <c r="T14" s="65"/>
      <c r="U14" s="65"/>
      <c r="W14">
        <v>9</v>
      </c>
      <c r="X14" s="94">
        <v>4</v>
      </c>
      <c r="Y14" s="65">
        <v>68057</v>
      </c>
      <c r="Z14" s="65">
        <v>1076</v>
      </c>
    </row>
    <row r="15" spans="1:26" ht="14" customHeight="1">
      <c r="B15" s="20">
        <v>13</v>
      </c>
      <c r="C15" s="65">
        <v>1638.2465753398531</v>
      </c>
      <c r="D15" s="73">
        <v>49.3</v>
      </c>
      <c r="E15" s="4">
        <v>220</v>
      </c>
      <c r="F15" s="20">
        <v>13</v>
      </c>
      <c r="G15" s="65">
        <v>742.68493150566496</v>
      </c>
      <c r="H15" s="65">
        <v>3568.4383561586928</v>
      </c>
      <c r="I15" s="20">
        <v>13</v>
      </c>
      <c r="J15" s="3">
        <v>6.13</v>
      </c>
      <c r="K15" s="3">
        <v>7.55</v>
      </c>
      <c r="L15" s="20">
        <v>13</v>
      </c>
      <c r="O15" s="20">
        <v>13</v>
      </c>
      <c r="P15" s="65"/>
      <c r="Q15" s="65"/>
      <c r="R15" s="65"/>
      <c r="S15" s="65"/>
      <c r="T15" s="65"/>
      <c r="U15" s="65"/>
      <c r="W15">
        <v>11</v>
      </c>
      <c r="X15" s="94">
        <v>1</v>
      </c>
      <c r="Y15" s="65">
        <v>69757</v>
      </c>
      <c r="Z15" s="65">
        <v>1086</v>
      </c>
    </row>
    <row r="16" spans="1:26" ht="14" customHeight="1">
      <c r="B16" s="20">
        <v>14</v>
      </c>
      <c r="C16" s="65">
        <v>1518.8910891159137</v>
      </c>
      <c r="D16" s="73">
        <v>49.3</v>
      </c>
      <c r="E16" s="4">
        <v>340</v>
      </c>
      <c r="F16" s="20">
        <v>14</v>
      </c>
      <c r="G16" s="65">
        <v>703.36633663690623</v>
      </c>
      <c r="H16" s="65">
        <v>3136.6336633807978</v>
      </c>
      <c r="I16" s="20">
        <v>14</v>
      </c>
      <c r="J16" s="3">
        <v>6.1</v>
      </c>
      <c r="K16" s="3">
        <v>7.56</v>
      </c>
      <c r="L16" s="20">
        <v>14</v>
      </c>
      <c r="O16" s="20">
        <v>14</v>
      </c>
      <c r="P16" s="65"/>
      <c r="Q16" s="65"/>
      <c r="R16" s="65"/>
      <c r="S16" s="65"/>
      <c r="T16" s="65"/>
      <c r="U16" s="65"/>
      <c r="W16">
        <v>7</v>
      </c>
      <c r="X16" s="94">
        <v>6</v>
      </c>
      <c r="Y16" s="65">
        <v>71357</v>
      </c>
      <c r="Z16" s="65">
        <v>1096</v>
      </c>
    </row>
    <row r="17" spans="2:26" ht="14" customHeight="1">
      <c r="B17" s="20">
        <v>15</v>
      </c>
      <c r="C17" s="65">
        <v>189.34256055287051</v>
      </c>
      <c r="D17" s="73">
        <v>55.3</v>
      </c>
      <c r="E17" s="4">
        <v>195</v>
      </c>
      <c r="F17" s="20">
        <v>15</v>
      </c>
      <c r="G17" s="65">
        <v>556.06920415000923</v>
      </c>
      <c r="H17" s="65">
        <v>413.56401383916455</v>
      </c>
      <c r="I17" s="20">
        <v>15</v>
      </c>
      <c r="J17" s="3">
        <v>6.2</v>
      </c>
      <c r="K17" s="3">
        <v>7.71</v>
      </c>
      <c r="L17" s="20">
        <v>15</v>
      </c>
      <c r="O17" s="20">
        <v>15</v>
      </c>
      <c r="P17" s="65"/>
      <c r="Q17" s="65"/>
      <c r="R17" s="65"/>
      <c r="S17" s="65"/>
      <c r="T17" s="65"/>
      <c r="U17" s="65"/>
      <c r="V17"/>
      <c r="W17">
        <v>1</v>
      </c>
      <c r="X17" s="94">
        <v>39</v>
      </c>
      <c r="Y17" s="65">
        <v>71557</v>
      </c>
      <c r="Z17" s="65">
        <v>1097</v>
      </c>
    </row>
    <row r="18" spans="2:26" ht="14" customHeight="1">
      <c r="B18" s="20">
        <v>16</v>
      </c>
      <c r="C18" s="65">
        <v>728</v>
      </c>
      <c r="D18" s="73">
        <v>56.5</v>
      </c>
      <c r="E18" s="4">
        <v>95</v>
      </c>
      <c r="F18" s="20">
        <v>16</v>
      </c>
      <c r="G18" s="65">
        <v>557</v>
      </c>
      <c r="H18" s="65">
        <v>2695</v>
      </c>
      <c r="I18" s="20">
        <v>16</v>
      </c>
      <c r="L18" s="20">
        <v>16</v>
      </c>
      <c r="O18" s="20">
        <v>16</v>
      </c>
      <c r="P18" s="65"/>
      <c r="Q18" s="65"/>
      <c r="R18" s="65"/>
      <c r="S18" s="65"/>
      <c r="T18" s="65"/>
      <c r="U18" s="65"/>
      <c r="V18"/>
      <c r="W18">
        <v>6</v>
      </c>
      <c r="X18" s="94">
        <v>5</v>
      </c>
      <c r="Y18" s="65">
        <v>72257</v>
      </c>
      <c r="Z18" s="65">
        <v>1105</v>
      </c>
    </row>
    <row r="19" spans="2:26" ht="14" customHeight="1">
      <c r="B19" s="20">
        <v>17</v>
      </c>
      <c r="C19" s="65">
        <v>181.56521739222336</v>
      </c>
      <c r="D19" s="73">
        <v>56.6</v>
      </c>
      <c r="E19" s="4">
        <v>245</v>
      </c>
      <c r="F19" s="20">
        <v>17</v>
      </c>
      <c r="G19" s="65">
        <v>690.78260869914857</v>
      </c>
      <c r="H19" s="65">
        <v>655.30434782940381</v>
      </c>
      <c r="I19" s="20">
        <v>17</v>
      </c>
      <c r="J19" s="3">
        <v>5.81</v>
      </c>
      <c r="K19" s="3">
        <v>7.78</v>
      </c>
      <c r="L19" s="20">
        <v>17</v>
      </c>
      <c r="O19" s="20">
        <v>17</v>
      </c>
      <c r="P19" s="65"/>
      <c r="Q19" s="65"/>
      <c r="R19" s="65"/>
      <c r="S19" s="65"/>
      <c r="T19" s="65"/>
      <c r="U19" s="65"/>
      <c r="V19"/>
      <c r="W19">
        <v>2</v>
      </c>
      <c r="X19" s="94">
        <v>168</v>
      </c>
      <c r="Y19" s="65">
        <v>72457</v>
      </c>
      <c r="Z19" s="65">
        <v>1107</v>
      </c>
    </row>
    <row r="20" spans="2:26" ht="14" customHeight="1">
      <c r="B20" s="20">
        <v>18</v>
      </c>
      <c r="C20" s="65">
        <v>1373.7084398923812</v>
      </c>
      <c r="D20" s="73">
        <v>52.9</v>
      </c>
      <c r="E20" s="4">
        <v>260</v>
      </c>
      <c r="F20" s="20">
        <v>18</v>
      </c>
      <c r="G20" s="65">
        <v>694.21994884641788</v>
      </c>
      <c r="H20" s="65">
        <v>3586.1892582981395</v>
      </c>
      <c r="I20" s="20">
        <v>18</v>
      </c>
      <c r="J20" s="3">
        <v>6.05</v>
      </c>
      <c r="K20" s="3">
        <v>7.54</v>
      </c>
      <c r="L20" s="20">
        <v>18</v>
      </c>
      <c r="O20" s="20">
        <v>18</v>
      </c>
      <c r="P20" s="65"/>
      <c r="Q20" s="65"/>
      <c r="R20" s="65"/>
      <c r="S20" s="65"/>
      <c r="T20" s="65"/>
      <c r="U20" s="65"/>
      <c r="V20"/>
      <c r="W20">
        <v>7</v>
      </c>
      <c r="X20">
        <v>0</v>
      </c>
      <c r="Y20" s="65">
        <v>73957</v>
      </c>
      <c r="Z20" s="65">
        <v>1118</v>
      </c>
    </row>
    <row r="21" spans="2:26" ht="14" customHeight="1">
      <c r="B21" s="20">
        <v>19</v>
      </c>
      <c r="C21" s="65">
        <v>1397.1109456460181</v>
      </c>
      <c r="D21" s="73">
        <v>52.2</v>
      </c>
      <c r="E21" s="4">
        <v>245</v>
      </c>
      <c r="F21" s="20">
        <v>19</v>
      </c>
      <c r="G21" s="65">
        <v>595.0856291892095</v>
      </c>
      <c r="H21" s="65">
        <v>3048.3395383512125</v>
      </c>
      <c r="I21" s="20">
        <v>19</v>
      </c>
      <c r="J21" s="3">
        <v>5.92</v>
      </c>
      <c r="K21" s="3">
        <v>7.58</v>
      </c>
      <c r="L21" s="20">
        <v>19</v>
      </c>
      <c r="O21" s="20">
        <v>19</v>
      </c>
      <c r="P21" s="65"/>
      <c r="Q21" s="65"/>
      <c r="R21" s="65"/>
      <c r="S21" s="65"/>
      <c r="T21" s="65"/>
      <c r="U21" s="65"/>
      <c r="V21"/>
      <c r="W21">
        <v>8</v>
      </c>
      <c r="X21" s="94">
        <v>2</v>
      </c>
      <c r="Y21" s="65">
        <v>75257</v>
      </c>
      <c r="Z21" s="65">
        <v>1126</v>
      </c>
    </row>
    <row r="22" spans="2:26" ht="14" customHeight="1">
      <c r="B22" s="20">
        <v>20</v>
      </c>
      <c r="C22" s="65">
        <v>1359.4066082229394</v>
      </c>
      <c r="D22" s="73">
        <v>46.5</v>
      </c>
      <c r="E22" s="4">
        <v>290</v>
      </c>
      <c r="F22" s="20">
        <v>20</v>
      </c>
      <c r="G22" s="65">
        <v>635.03708698414459</v>
      </c>
      <c r="H22" s="65">
        <v>2862.521915029447</v>
      </c>
      <c r="I22" s="20">
        <v>20</v>
      </c>
      <c r="L22" s="20">
        <v>20</v>
      </c>
      <c r="O22" s="20">
        <v>20</v>
      </c>
      <c r="P22" s="65"/>
      <c r="Q22" s="65"/>
      <c r="R22" s="65"/>
      <c r="S22" s="65"/>
      <c r="T22" s="65"/>
      <c r="U22" s="65"/>
      <c r="V22"/>
      <c r="W22">
        <v>7</v>
      </c>
      <c r="X22" s="94">
        <v>6</v>
      </c>
      <c r="Y22" s="65">
        <v>76757</v>
      </c>
      <c r="Z22" s="65">
        <v>1134</v>
      </c>
    </row>
    <row r="23" spans="2:26" ht="14" customHeight="1">
      <c r="B23" s="20">
        <v>21</v>
      </c>
      <c r="C23" s="65">
        <v>1403.215627346877</v>
      </c>
      <c r="D23" s="73">
        <v>52</v>
      </c>
      <c r="E23" s="4">
        <v>270</v>
      </c>
      <c r="F23" s="20">
        <v>21</v>
      </c>
      <c r="G23" s="65">
        <v>781.12697220080577</v>
      </c>
      <c r="H23" s="65">
        <v>2994.6806912075212</v>
      </c>
      <c r="I23" s="20">
        <v>21</v>
      </c>
      <c r="J23" s="3">
        <v>5.73</v>
      </c>
      <c r="K23" s="3">
        <v>7.54</v>
      </c>
      <c r="L23" s="20">
        <v>21</v>
      </c>
      <c r="O23" s="20">
        <v>21</v>
      </c>
      <c r="P23" s="65"/>
      <c r="Q23" s="65"/>
      <c r="R23" s="65"/>
      <c r="S23" s="65"/>
      <c r="T23" s="65"/>
      <c r="U23" s="65"/>
      <c r="V23"/>
      <c r="W23">
        <v>9</v>
      </c>
      <c r="X23">
        <v>0</v>
      </c>
      <c r="Y23" s="65">
        <v>78057</v>
      </c>
      <c r="Z23" s="65">
        <v>1143</v>
      </c>
    </row>
    <row r="24" spans="2:26" ht="14" customHeight="1">
      <c r="B24" s="20">
        <v>22</v>
      </c>
      <c r="C24" s="65">
        <v>1577.1428571451379</v>
      </c>
      <c r="D24" s="73">
        <v>53.4</v>
      </c>
      <c r="E24" s="4">
        <v>280</v>
      </c>
      <c r="F24" s="20">
        <v>22</v>
      </c>
      <c r="G24" s="65">
        <v>643.97515528043436</v>
      </c>
      <c r="H24" s="65">
        <v>3449.4409937938085</v>
      </c>
      <c r="I24" s="20">
        <v>22</v>
      </c>
      <c r="J24" s="3">
        <v>5.6</v>
      </c>
      <c r="K24" s="3">
        <v>7.53</v>
      </c>
      <c r="L24" s="20">
        <v>22</v>
      </c>
      <c r="O24" s="20">
        <v>22</v>
      </c>
      <c r="P24" s="65"/>
      <c r="Q24" s="65"/>
      <c r="R24" s="65"/>
      <c r="S24" s="65"/>
      <c r="T24" s="65"/>
      <c r="U24" s="65"/>
      <c r="V24"/>
      <c r="W24">
        <v>9</v>
      </c>
      <c r="X24" s="94">
        <v>1</v>
      </c>
      <c r="Y24" s="65">
        <v>79657</v>
      </c>
      <c r="Z24" s="65">
        <v>1153</v>
      </c>
    </row>
    <row r="25" spans="2:26" ht="14" customHeight="1">
      <c r="B25" s="20">
        <v>23</v>
      </c>
      <c r="C25" s="65">
        <v>1303.1852358153631</v>
      </c>
      <c r="D25" s="73">
        <v>54.3</v>
      </c>
      <c r="E25" s="4">
        <v>270</v>
      </c>
      <c r="F25" s="20">
        <v>23</v>
      </c>
      <c r="G25" s="65">
        <v>569.89747094946756</v>
      </c>
      <c r="H25" s="65">
        <v>2991.2235133254444</v>
      </c>
      <c r="I25" s="20">
        <v>23</v>
      </c>
      <c r="J25" s="3">
        <v>5.59</v>
      </c>
      <c r="K25" s="3">
        <v>7.54</v>
      </c>
      <c r="L25" s="20">
        <v>23</v>
      </c>
      <c r="O25" s="20">
        <v>23</v>
      </c>
      <c r="P25" s="65"/>
      <c r="Q25" s="65"/>
      <c r="R25" s="65"/>
      <c r="S25" s="65"/>
      <c r="T25" s="65"/>
      <c r="U25" s="65"/>
      <c r="V25"/>
      <c r="W25">
        <v>8</v>
      </c>
      <c r="X25">
        <v>0</v>
      </c>
      <c r="Y25" s="65">
        <v>80957</v>
      </c>
      <c r="Z25" s="65">
        <v>1161</v>
      </c>
    </row>
    <row r="26" spans="2:26" ht="14" customHeight="1">
      <c r="B26" s="20">
        <v>24</v>
      </c>
      <c r="C26" s="65" t="s">
        <v>0</v>
      </c>
      <c r="D26" s="73">
        <v>50.4</v>
      </c>
      <c r="E26" s="4">
        <v>345</v>
      </c>
      <c r="F26" s="20">
        <v>24</v>
      </c>
      <c r="G26" s="65" t="s">
        <v>0</v>
      </c>
      <c r="H26" s="65" t="s">
        <v>0</v>
      </c>
      <c r="I26" s="20">
        <v>24</v>
      </c>
      <c r="L26" s="20">
        <v>24</v>
      </c>
      <c r="O26" s="20">
        <v>24</v>
      </c>
      <c r="P26" s="65"/>
      <c r="Q26" s="65"/>
      <c r="R26" s="65"/>
      <c r="S26" s="65"/>
      <c r="T26" s="65"/>
      <c r="U26" s="65"/>
      <c r="V26"/>
      <c r="Y26" s="65"/>
      <c r="Z26" s="65"/>
    </row>
    <row r="27" spans="2:26" ht="14" customHeight="1">
      <c r="B27" s="20">
        <v>25</v>
      </c>
      <c r="C27" s="65">
        <v>2621.7674418604652</v>
      </c>
      <c r="D27" s="73">
        <v>53.5</v>
      </c>
      <c r="E27" s="4">
        <v>340</v>
      </c>
      <c r="F27" s="20">
        <v>25</v>
      </c>
      <c r="G27" s="65">
        <v>967.44186046511629</v>
      </c>
      <c r="H27" s="65">
        <v>5826.9767441860458</v>
      </c>
      <c r="I27" s="20">
        <v>25</v>
      </c>
      <c r="J27" s="3">
        <v>5.2</v>
      </c>
      <c r="K27" s="3">
        <v>7.57</v>
      </c>
      <c r="L27" s="20">
        <v>25</v>
      </c>
      <c r="O27" s="20">
        <v>25</v>
      </c>
      <c r="P27" s="65"/>
      <c r="Q27" s="65"/>
      <c r="R27" s="65"/>
      <c r="S27" s="65"/>
      <c r="T27" s="65"/>
      <c r="U27" s="65"/>
      <c r="V27"/>
      <c r="W27">
        <v>18</v>
      </c>
      <c r="X27" s="94">
        <v>14</v>
      </c>
      <c r="Y27" s="65">
        <v>84557</v>
      </c>
      <c r="Z27" s="65">
        <v>1184</v>
      </c>
    </row>
    <row r="28" spans="2:26" ht="14" customHeight="1">
      <c r="B28" s="20">
        <v>26</v>
      </c>
      <c r="C28" s="65">
        <v>615.22240527348049</v>
      </c>
      <c r="D28" s="73">
        <v>54.6</v>
      </c>
      <c r="E28" s="4">
        <v>260</v>
      </c>
      <c r="F28" s="20">
        <v>26</v>
      </c>
      <c r="G28" s="65">
        <v>707.7429983544539</v>
      </c>
      <c r="H28" s="65">
        <v>1553.8714991804491</v>
      </c>
      <c r="I28" s="20">
        <v>26</v>
      </c>
      <c r="L28" s="20">
        <v>26</v>
      </c>
      <c r="O28" s="20">
        <v>26</v>
      </c>
      <c r="P28" s="65"/>
      <c r="Q28" s="65"/>
      <c r="R28" s="65"/>
      <c r="S28" s="65"/>
      <c r="T28" s="65"/>
      <c r="U28" s="65"/>
      <c r="V28"/>
      <c r="W28">
        <v>3</v>
      </c>
      <c r="X28" s="94">
        <v>220</v>
      </c>
      <c r="Y28" s="65">
        <v>85357</v>
      </c>
      <c r="Z28" s="65">
        <v>1189</v>
      </c>
    </row>
    <row r="29" spans="2:26" ht="14" customHeight="1">
      <c r="B29" s="20">
        <v>27</v>
      </c>
      <c r="C29" s="65">
        <v>1394.347826080781</v>
      </c>
      <c r="D29" s="73">
        <v>55.2</v>
      </c>
      <c r="E29" s="4">
        <v>210</v>
      </c>
      <c r="F29" s="20">
        <v>27</v>
      </c>
      <c r="G29" s="65">
        <v>536.08695651936489</v>
      </c>
      <c r="H29" s="65">
        <v>4335.6521738938418</v>
      </c>
      <c r="I29" s="20">
        <v>27</v>
      </c>
      <c r="J29" s="3">
        <v>5.26</v>
      </c>
      <c r="K29" s="3">
        <v>7.59</v>
      </c>
      <c r="L29" s="20">
        <v>27</v>
      </c>
      <c r="N29" s="5">
        <v>0.21</v>
      </c>
      <c r="O29" s="20">
        <v>27</v>
      </c>
      <c r="P29" s="65"/>
      <c r="Q29" s="65"/>
      <c r="R29" s="65"/>
      <c r="S29" s="65">
        <v>9000</v>
      </c>
      <c r="T29" s="65">
        <v>7425</v>
      </c>
      <c r="U29" s="65">
        <v>1550</v>
      </c>
      <c r="V29"/>
      <c r="W29">
        <v>7</v>
      </c>
      <c r="X29" s="94">
        <v>5</v>
      </c>
      <c r="Y29" s="65">
        <v>86457</v>
      </c>
      <c r="Z29" s="65">
        <v>1199</v>
      </c>
    </row>
    <row r="30" spans="2:26" ht="14" customHeight="1">
      <c r="B30" s="20">
        <v>28</v>
      </c>
      <c r="C30" s="65">
        <v>1248.0000000030911</v>
      </c>
      <c r="D30" s="73">
        <v>54.7</v>
      </c>
      <c r="E30" s="4">
        <v>185</v>
      </c>
      <c r="F30" s="20">
        <v>28</v>
      </c>
      <c r="G30" s="65">
        <v>597.44680851211808</v>
      </c>
      <c r="H30" s="65">
        <v>4388.4255319257636</v>
      </c>
      <c r="I30" s="20">
        <v>28</v>
      </c>
      <c r="L30" s="20">
        <v>28</v>
      </c>
      <c r="O30" s="20">
        <v>28</v>
      </c>
      <c r="P30" s="65"/>
      <c r="Q30" s="65"/>
      <c r="R30" s="65"/>
      <c r="S30" s="65"/>
      <c r="T30" s="65"/>
      <c r="U30" s="65"/>
      <c r="V30"/>
      <c r="W30">
        <v>9</v>
      </c>
      <c r="X30">
        <v>0</v>
      </c>
      <c r="Y30" s="65">
        <v>87657</v>
      </c>
      <c r="Z30" s="65">
        <v>1211</v>
      </c>
    </row>
    <row r="31" spans="2:26">
      <c r="C31" s="66" t="s">
        <v>0</v>
      </c>
      <c r="F31" s="17"/>
      <c r="H31" s="65" t="s">
        <v>0</v>
      </c>
      <c r="L31" s="20"/>
      <c r="O31" s="17"/>
    </row>
    <row r="32" spans="2:26" s="7" customFormat="1">
      <c r="B32" s="7" t="s">
        <v>22</v>
      </c>
      <c r="C32" s="67">
        <f>AVERAGE(C3:C31)</f>
        <v>1028.7047923176654</v>
      </c>
      <c r="D32" s="13">
        <f>AVERAGE(D3:D30)</f>
        <v>54.310714285714276</v>
      </c>
      <c r="E32" s="75">
        <f>AVERAGE(E3:E30)</f>
        <v>199.46428571428572</v>
      </c>
      <c r="F32" s="18" t="s">
        <v>22</v>
      </c>
      <c r="G32" s="67">
        <f>AVERAGE(G3:G30)</f>
        <v>623.91649573625375</v>
      </c>
      <c r="H32" s="67">
        <f>AVERAGE(H3:H31)</f>
        <v>2801.0597979438276</v>
      </c>
      <c r="I32" s="8"/>
      <c r="J32" s="14">
        <f>AVERAGE(J3:J30)</f>
        <v>5.9772727272727275</v>
      </c>
      <c r="K32" s="14">
        <f>AVERAGE(K3:K30)</f>
        <v>7.6204545454545443</v>
      </c>
      <c r="L32" s="21"/>
      <c r="M32" s="76"/>
      <c r="N32" s="15">
        <f>AVERAGE(N3:N30)</f>
        <v>0.21</v>
      </c>
      <c r="O32" s="18" t="s">
        <v>22</v>
      </c>
      <c r="P32" s="78" t="e">
        <f>AVERAGE(P3:P30)</f>
        <v>#DIV/0!</v>
      </c>
      <c r="Q32" s="78" t="s">
        <v>0</v>
      </c>
      <c r="R32" s="78" t="e">
        <f>AVERAGE(R3:R30)</f>
        <v>#DIV/0!</v>
      </c>
      <c r="S32" s="78">
        <f>AVERAGE(S3:S30)</f>
        <v>9000</v>
      </c>
      <c r="T32" s="78">
        <f>AVERAGE(T3:T30)</f>
        <v>7425</v>
      </c>
      <c r="U32" s="78">
        <f>AVERAGE(U3:U30)</f>
        <v>1550</v>
      </c>
      <c r="V32" s="16"/>
    </row>
    <row r="33" spans="2:22" s="7" customFormat="1">
      <c r="B33" s="7" t="s">
        <v>23</v>
      </c>
      <c r="C33" s="67">
        <f>STDEV(C3:C31)</f>
        <v>527.9551105784227</v>
      </c>
      <c r="D33" s="13">
        <f>STDEV(D3:D30)</f>
        <v>2.9219906058249236</v>
      </c>
      <c r="E33" s="75">
        <f>STDEV(E3:E30)</f>
        <v>84.429888574225217</v>
      </c>
      <c r="F33" s="18" t="s">
        <v>23</v>
      </c>
      <c r="G33" s="67">
        <f>STDEV(G3:G30)</f>
        <v>95.899020739742312</v>
      </c>
      <c r="H33" s="67">
        <f>STDEV(H3:H31)</f>
        <v>1114.4054644553098</v>
      </c>
      <c r="I33" s="8"/>
      <c r="J33" s="14">
        <f>STDEV(J3:J30)</f>
        <v>0.3141758958075771</v>
      </c>
      <c r="K33" s="14">
        <f>STDEV(K3:K30)</f>
        <v>7.6561663459516899E-2</v>
      </c>
      <c r="L33" s="21"/>
      <c r="M33" s="76"/>
      <c r="N33" s="15" t="e">
        <f>STDEV(N3:N30)</f>
        <v>#DIV/0!</v>
      </c>
      <c r="O33" s="18" t="s">
        <v>23</v>
      </c>
      <c r="P33" s="78" t="e">
        <f>STDEV(P3:P30)</f>
        <v>#DIV/0!</v>
      </c>
      <c r="Q33" s="78" t="s">
        <v>0</v>
      </c>
      <c r="R33" s="78" t="e">
        <f>STDEV(R3:R30)</f>
        <v>#DIV/0!</v>
      </c>
      <c r="S33" s="78" t="e">
        <f>STDEV(S3:S30)</f>
        <v>#DIV/0!</v>
      </c>
      <c r="T33" s="78" t="e">
        <f>STDEV(T3:T30)</f>
        <v>#DIV/0!</v>
      </c>
      <c r="U33" s="78" t="e">
        <f>STDEV(U3:U30)</f>
        <v>#DIV/0!</v>
      </c>
      <c r="V33" s="16"/>
    </row>
  </sheetData>
  <pageMargins left="0.75" right="0.75" top="1" bottom="1" header="0.5" footer="0.5"/>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workbookViewId="0">
      <pane xSplit="2" ySplit="2" topLeftCell="C3" activePane="bottomRight" state="frozen"/>
      <selection pane="topRight" activeCell="C1" sqref="C1"/>
      <selection pane="bottomLeft" activeCell="A3" sqref="A3"/>
      <selection pane="bottomRight" activeCell="A55" sqref="A55"/>
    </sheetView>
  </sheetViews>
  <sheetFormatPr baseColWidth="10" defaultRowHeight="15" x14ac:dyDescent="0"/>
  <cols>
    <col min="1" max="1" width="11.6640625" customWidth="1"/>
    <col min="2" max="2" width="6.33203125" customWidth="1"/>
    <col min="3" max="3" width="10.83203125" style="66"/>
    <col min="4" max="4" width="10.83203125" style="2"/>
    <col min="5" max="5" width="10.83203125" style="22"/>
    <col min="6" max="6" width="4.6640625" style="2" customWidth="1"/>
    <col min="7" max="8" width="10.83203125" style="65"/>
    <col min="9" max="9" width="5" customWidth="1"/>
    <col min="10" max="10" width="10.6640625" style="3" customWidth="1"/>
    <col min="11" max="11" width="8" style="3" customWidth="1"/>
    <col min="12" max="12" width="4.6640625" style="22" customWidth="1"/>
    <col min="13" max="14" width="10.83203125" style="5"/>
    <col min="15" max="15" width="5.1640625" customWidth="1"/>
    <col min="16" max="18" width="10.83203125" style="66"/>
    <col min="19" max="21" width="8.6640625" style="66" customWidth="1"/>
    <col min="22" max="22" width="8.6640625" style="6" customWidth="1"/>
    <col min="23" max="24" width="9.83203125" customWidth="1"/>
  </cols>
  <sheetData>
    <row r="1" spans="1:26" s="9" customFormat="1" ht="18">
      <c r="A1" s="9" t="s">
        <v>39</v>
      </c>
      <c r="C1" s="63"/>
      <c r="D1" s="12"/>
      <c r="E1" s="19"/>
      <c r="F1" s="12"/>
      <c r="G1" s="70"/>
      <c r="H1" s="70"/>
      <c r="J1" s="72"/>
      <c r="K1" s="72"/>
      <c r="L1" s="19"/>
      <c r="M1" s="68"/>
      <c r="N1" s="68"/>
      <c r="P1" s="63"/>
      <c r="Q1" s="63"/>
      <c r="R1" s="63"/>
      <c r="S1" s="63"/>
      <c r="T1" s="63"/>
      <c r="U1" s="63"/>
      <c r="V1" s="11"/>
    </row>
    <row r="2" spans="1:26" s="23" customFormat="1" ht="60">
      <c r="A2" s="23" t="s">
        <v>12</v>
      </c>
      <c r="B2" s="24" t="s">
        <v>40</v>
      </c>
      <c r="C2" s="64" t="s">
        <v>28</v>
      </c>
      <c r="D2" s="26" t="s">
        <v>9</v>
      </c>
      <c r="E2" s="74" t="s">
        <v>10</v>
      </c>
      <c r="F2" s="27" t="s">
        <v>24</v>
      </c>
      <c r="G2" s="71" t="s">
        <v>29</v>
      </c>
      <c r="H2" s="71" t="s">
        <v>30</v>
      </c>
      <c r="I2" s="27" t="s">
        <v>24</v>
      </c>
      <c r="J2" s="28" t="s">
        <v>1</v>
      </c>
      <c r="K2" s="28" t="s">
        <v>11</v>
      </c>
      <c r="L2" s="30" t="s">
        <v>24</v>
      </c>
      <c r="M2" s="69" t="s">
        <v>13</v>
      </c>
      <c r="N2" s="69" t="s">
        <v>14</v>
      </c>
      <c r="O2" s="27" t="s">
        <v>24</v>
      </c>
      <c r="P2" s="77" t="s">
        <v>15</v>
      </c>
      <c r="Q2" s="77" t="s">
        <v>16</v>
      </c>
      <c r="R2" s="77" t="s">
        <v>17</v>
      </c>
      <c r="S2" s="77" t="s">
        <v>18</v>
      </c>
      <c r="T2" s="77" t="s">
        <v>19</v>
      </c>
      <c r="U2" s="77" t="s">
        <v>20</v>
      </c>
      <c r="V2" s="32"/>
      <c r="W2" s="23" t="s">
        <v>5</v>
      </c>
      <c r="X2" s="23" t="s">
        <v>6</v>
      </c>
      <c r="Y2" s="23" t="s">
        <v>7</v>
      </c>
      <c r="Z2" s="23" t="s">
        <v>8</v>
      </c>
    </row>
    <row r="3" spans="1:26" ht="14" customHeight="1">
      <c r="B3" s="20">
        <v>1</v>
      </c>
      <c r="C3" s="65">
        <v>1302.9517241368849</v>
      </c>
      <c r="D3" s="73">
        <v>55.1</v>
      </c>
      <c r="E3" s="4">
        <v>155</v>
      </c>
      <c r="F3" s="20">
        <v>1</v>
      </c>
      <c r="G3" s="65">
        <v>573.02068965471233</v>
      </c>
      <c r="H3" s="65">
        <v>4842.372413789215</v>
      </c>
      <c r="I3" s="20">
        <v>1</v>
      </c>
      <c r="J3" s="3">
        <v>5.19</v>
      </c>
      <c r="K3" s="3">
        <v>7.58</v>
      </c>
      <c r="L3" s="20">
        <v>1</v>
      </c>
      <c r="O3" s="20">
        <v>1</v>
      </c>
      <c r="P3" s="65"/>
      <c r="Q3" s="65"/>
      <c r="R3" s="65"/>
      <c r="S3" s="65"/>
      <c r="T3" s="65"/>
      <c r="U3" s="65"/>
      <c r="W3">
        <v>9</v>
      </c>
      <c r="X3">
        <v>0</v>
      </c>
      <c r="Y3">
        <v>88957</v>
      </c>
      <c r="Z3">
        <v>1225</v>
      </c>
    </row>
    <row r="4" spans="1:26" ht="14" customHeight="1">
      <c r="B4" s="20">
        <v>2</v>
      </c>
      <c r="C4" s="65">
        <v>1206.2465753405422</v>
      </c>
      <c r="D4" s="73">
        <v>55.6</v>
      </c>
      <c r="E4" s="4">
        <v>180</v>
      </c>
      <c r="F4" s="20">
        <v>2</v>
      </c>
      <c r="G4" s="65">
        <v>563.17808219088261</v>
      </c>
      <c r="H4" s="65">
        <v>4530.0821917735975</v>
      </c>
      <c r="I4" s="20">
        <v>2</v>
      </c>
      <c r="J4" s="3">
        <v>5.16</v>
      </c>
      <c r="K4" s="3">
        <v>7.61</v>
      </c>
      <c r="L4" s="20">
        <v>2</v>
      </c>
      <c r="O4" s="20">
        <v>2</v>
      </c>
      <c r="P4" s="65"/>
      <c r="Q4" s="65"/>
      <c r="R4" s="65"/>
      <c r="S4" s="65"/>
      <c r="T4" s="65"/>
      <c r="U4" s="65"/>
      <c r="W4">
        <v>8</v>
      </c>
      <c r="X4">
        <v>0</v>
      </c>
      <c r="Y4">
        <v>90257</v>
      </c>
      <c r="Z4">
        <v>1238</v>
      </c>
    </row>
    <row r="5" spans="1:26" ht="14" customHeight="1">
      <c r="B5" s="20">
        <v>3</v>
      </c>
      <c r="C5" s="65">
        <v>1415.1111111111111</v>
      </c>
      <c r="D5" s="73">
        <v>55.4</v>
      </c>
      <c r="E5" s="4">
        <v>380</v>
      </c>
      <c r="F5" s="20">
        <v>3</v>
      </c>
      <c r="G5" s="65">
        <v>818.66666666666674</v>
      </c>
      <c r="H5" s="65">
        <v>4743.1111111111113</v>
      </c>
      <c r="I5" s="20">
        <v>3</v>
      </c>
      <c r="L5" s="20">
        <v>3</v>
      </c>
      <c r="O5" s="20">
        <v>3</v>
      </c>
      <c r="P5" s="65"/>
      <c r="Q5" s="65"/>
      <c r="R5" s="65"/>
      <c r="S5" s="65"/>
      <c r="T5" s="65"/>
      <c r="U5" s="65"/>
      <c r="W5">
        <v>9</v>
      </c>
      <c r="X5">
        <v>0</v>
      </c>
      <c r="Y5">
        <v>91857</v>
      </c>
      <c r="Z5">
        <v>1253</v>
      </c>
    </row>
    <row r="6" spans="1:26" ht="14" customHeight="1">
      <c r="B6" s="20">
        <v>4</v>
      </c>
      <c r="C6" s="65">
        <v>2120.5161290362398</v>
      </c>
      <c r="D6" s="73">
        <v>53.7</v>
      </c>
      <c r="E6" s="4">
        <v>265</v>
      </c>
      <c r="F6" s="20">
        <v>4</v>
      </c>
      <c r="G6" s="65">
        <v>593.41935483982388</v>
      </c>
      <c r="H6" s="65">
        <v>4587.0967742021612</v>
      </c>
      <c r="I6" s="20">
        <v>4</v>
      </c>
      <c r="J6" s="3">
        <v>5.3</v>
      </c>
      <c r="K6" s="3">
        <v>7.54</v>
      </c>
      <c r="L6" s="20">
        <v>4</v>
      </c>
      <c r="O6" s="20">
        <v>4</v>
      </c>
      <c r="P6" s="65"/>
      <c r="Q6" s="65"/>
      <c r="R6" s="65"/>
      <c r="S6" s="65"/>
      <c r="T6" s="65"/>
      <c r="U6" s="65"/>
      <c r="W6">
        <v>7</v>
      </c>
      <c r="X6">
        <v>0</v>
      </c>
      <c r="Y6">
        <v>93657</v>
      </c>
      <c r="Z6">
        <v>1265</v>
      </c>
    </row>
    <row r="7" spans="1:26" ht="14" customHeight="1">
      <c r="B7" s="20">
        <v>5</v>
      </c>
      <c r="C7" s="65">
        <v>2114.6218487353581</v>
      </c>
      <c r="D7" s="73">
        <v>52.5</v>
      </c>
      <c r="E7" s="4">
        <v>300</v>
      </c>
      <c r="F7" s="20">
        <v>5</v>
      </c>
      <c r="G7" s="65">
        <v>687.73109243562919</v>
      </c>
      <c r="H7" s="65">
        <v>4724.3697478899167</v>
      </c>
      <c r="I7" s="20">
        <v>5</v>
      </c>
      <c r="J7" s="3">
        <v>5.41</v>
      </c>
      <c r="K7" s="3">
        <v>7.64</v>
      </c>
      <c r="L7" s="20">
        <v>5</v>
      </c>
      <c r="O7" s="20">
        <v>5</v>
      </c>
      <c r="P7" s="65"/>
      <c r="Q7" s="65"/>
      <c r="R7" s="65"/>
      <c r="S7" s="65"/>
      <c r="T7" s="65"/>
      <c r="U7" s="65"/>
      <c r="W7">
        <v>8</v>
      </c>
      <c r="X7">
        <v>0</v>
      </c>
      <c r="Y7">
        <v>95757</v>
      </c>
      <c r="Z7">
        <v>1278</v>
      </c>
    </row>
    <row r="8" spans="1:26" ht="14" customHeight="1">
      <c r="B8" s="20">
        <v>6</v>
      </c>
      <c r="C8" s="65">
        <v>2122.1583742123253</v>
      </c>
      <c r="D8" s="73">
        <v>51.7</v>
      </c>
      <c r="E8" s="4">
        <v>65</v>
      </c>
      <c r="F8" s="20">
        <v>6</v>
      </c>
      <c r="G8" s="65">
        <v>618.58444288737769</v>
      </c>
      <c r="H8" s="65">
        <v>4646.9516468130096</v>
      </c>
      <c r="I8" s="20">
        <v>6</v>
      </c>
      <c r="J8" s="3">
        <v>5.61</v>
      </c>
      <c r="K8" s="3">
        <v>7.62</v>
      </c>
      <c r="L8" s="20">
        <v>6</v>
      </c>
      <c r="O8" s="20">
        <v>6</v>
      </c>
      <c r="P8" s="65"/>
      <c r="Q8" s="65"/>
      <c r="R8" s="65"/>
      <c r="S8" s="65"/>
      <c r="T8" s="65"/>
      <c r="U8" s="65"/>
      <c r="W8">
        <v>8</v>
      </c>
      <c r="X8">
        <v>0</v>
      </c>
      <c r="Y8">
        <v>97957</v>
      </c>
      <c r="Z8">
        <v>1291</v>
      </c>
    </row>
    <row r="9" spans="1:26" ht="14" customHeight="1">
      <c r="B9" s="20">
        <v>7</v>
      </c>
      <c r="C9" s="65">
        <v>1887.4788273672896</v>
      </c>
      <c r="D9" s="73">
        <v>54.5</v>
      </c>
      <c r="E9" s="4">
        <v>10</v>
      </c>
      <c r="F9" s="20">
        <v>7</v>
      </c>
      <c r="G9" s="65">
        <v>710.14983713570484</v>
      </c>
      <c r="H9" s="65">
        <v>4486.9837133686606</v>
      </c>
      <c r="I9" s="20">
        <v>7</v>
      </c>
      <c r="J9" s="3">
        <v>5.59</v>
      </c>
      <c r="K9" s="3">
        <v>7.57</v>
      </c>
      <c r="L9" s="20">
        <v>7</v>
      </c>
      <c r="O9" s="20">
        <v>7</v>
      </c>
      <c r="P9" s="65"/>
      <c r="Q9" s="65"/>
      <c r="R9" s="65"/>
      <c r="S9" s="65"/>
      <c r="T9" s="65"/>
      <c r="U9" s="65"/>
      <c r="W9">
        <v>9</v>
      </c>
      <c r="X9">
        <v>0</v>
      </c>
      <c r="Y9">
        <v>99957</v>
      </c>
      <c r="Z9">
        <v>1305</v>
      </c>
    </row>
    <row r="10" spans="1:26" ht="14" customHeight="1">
      <c r="B10" s="20">
        <v>8</v>
      </c>
      <c r="C10" s="65">
        <v>1972.1040892125031</v>
      </c>
      <c r="D10" s="73">
        <v>54.8</v>
      </c>
      <c r="E10" s="4">
        <v>25</v>
      </c>
      <c r="F10" s="20">
        <v>8</v>
      </c>
      <c r="G10" s="65">
        <v>549.23420074159287</v>
      </c>
      <c r="H10" s="65">
        <v>4662.6022304671287</v>
      </c>
      <c r="I10" s="20">
        <v>8</v>
      </c>
      <c r="J10" s="3">
        <v>5.61</v>
      </c>
      <c r="K10" s="3">
        <v>7.56</v>
      </c>
      <c r="L10" s="20">
        <v>8</v>
      </c>
      <c r="O10" s="20">
        <v>8</v>
      </c>
      <c r="P10" s="65"/>
      <c r="Q10" s="65"/>
      <c r="R10" s="65"/>
      <c r="S10" s="65"/>
      <c r="T10" s="65"/>
      <c r="U10" s="65"/>
      <c r="W10">
        <v>7</v>
      </c>
      <c r="X10">
        <v>0</v>
      </c>
      <c r="Y10">
        <v>101857</v>
      </c>
      <c r="Z10">
        <v>1317</v>
      </c>
    </row>
    <row r="11" spans="1:26" ht="14" customHeight="1">
      <c r="B11" s="20">
        <v>9</v>
      </c>
      <c r="C11" s="65">
        <v>2269.090909090909</v>
      </c>
      <c r="D11" s="73">
        <v>54.8</v>
      </c>
      <c r="E11" s="4">
        <v>45</v>
      </c>
      <c r="F11" s="20">
        <v>9</v>
      </c>
      <c r="G11" s="65">
        <v>659.39393939393938</v>
      </c>
      <c r="H11" s="65">
        <v>5196.6060606060601</v>
      </c>
      <c r="I11" s="20">
        <v>9</v>
      </c>
      <c r="L11" s="20">
        <v>9</v>
      </c>
      <c r="O11" s="20">
        <v>9</v>
      </c>
      <c r="P11" s="65"/>
      <c r="Q11" s="65"/>
      <c r="R11" s="65"/>
      <c r="S11" s="65"/>
      <c r="T11" s="65"/>
      <c r="U11" s="65"/>
      <c r="W11">
        <v>8</v>
      </c>
      <c r="X11">
        <v>0</v>
      </c>
      <c r="Y11">
        <v>104157</v>
      </c>
      <c r="Z11">
        <v>1332</v>
      </c>
    </row>
    <row r="12" spans="1:26" ht="14" customHeight="1">
      <c r="B12" s="20">
        <v>10</v>
      </c>
      <c r="C12" s="65">
        <v>2100.3956044009783</v>
      </c>
      <c r="D12" s="73">
        <v>54.7</v>
      </c>
      <c r="E12" s="4">
        <v>290</v>
      </c>
      <c r="F12" s="20">
        <v>10</v>
      </c>
      <c r="G12" s="65">
        <v>734.24175824363681</v>
      </c>
      <c r="H12" s="65">
        <v>4990.9450549578251</v>
      </c>
      <c r="I12" s="20">
        <v>10</v>
      </c>
      <c r="J12" s="3">
        <v>5.57</v>
      </c>
      <c r="K12" s="3">
        <v>7.68</v>
      </c>
      <c r="L12" s="20">
        <v>10</v>
      </c>
      <c r="O12" s="20">
        <v>10</v>
      </c>
      <c r="P12" s="65"/>
      <c r="Q12" s="65"/>
      <c r="R12" s="65"/>
      <c r="S12" s="65"/>
      <c r="T12" s="65"/>
      <c r="U12" s="65"/>
      <c r="W12">
        <v>7</v>
      </c>
      <c r="X12">
        <v>0</v>
      </c>
      <c r="Y12">
        <v>106257</v>
      </c>
      <c r="Z12">
        <v>1345</v>
      </c>
    </row>
    <row r="13" spans="1:26" ht="14" customHeight="1">
      <c r="B13" s="20">
        <v>11</v>
      </c>
      <c r="C13" s="65">
        <v>1859.7897687462273</v>
      </c>
      <c r="D13" s="73">
        <v>50.6</v>
      </c>
      <c r="E13" s="4">
        <v>890</v>
      </c>
      <c r="F13" s="20">
        <v>11</v>
      </c>
      <c r="G13" s="65">
        <v>628.67554309761226</v>
      </c>
      <c r="H13" s="65">
        <v>4082.8591450608974</v>
      </c>
      <c r="I13" s="20">
        <v>11</v>
      </c>
      <c r="J13" s="3">
        <v>5.42</v>
      </c>
      <c r="K13" s="3">
        <v>7.67</v>
      </c>
      <c r="L13" s="20">
        <v>11</v>
      </c>
      <c r="O13" s="20">
        <v>11</v>
      </c>
      <c r="P13" s="65"/>
      <c r="Q13" s="65"/>
      <c r="R13" s="65"/>
      <c r="S13" s="65"/>
      <c r="T13" s="65"/>
      <c r="U13" s="65"/>
      <c r="W13">
        <v>7</v>
      </c>
      <c r="X13">
        <v>0</v>
      </c>
      <c r="Y13">
        <v>108057</v>
      </c>
      <c r="Z13">
        <v>1357</v>
      </c>
    </row>
    <row r="14" spans="1:26" ht="14" customHeight="1">
      <c r="B14" s="20">
        <v>12</v>
      </c>
      <c r="C14" s="65">
        <v>1910.8474576195777</v>
      </c>
      <c r="D14" s="73">
        <v>53.7</v>
      </c>
      <c r="E14" s="4">
        <v>415</v>
      </c>
      <c r="F14" s="20">
        <v>12</v>
      </c>
      <c r="G14" s="65">
        <v>596.94915254001717</v>
      </c>
      <c r="H14" s="65">
        <v>4289.491525406801</v>
      </c>
      <c r="I14" s="20">
        <v>12</v>
      </c>
      <c r="J14" s="3">
        <v>5.56</v>
      </c>
      <c r="K14" s="3">
        <v>7.68</v>
      </c>
      <c r="L14" s="20">
        <v>12</v>
      </c>
      <c r="O14" s="20">
        <v>12</v>
      </c>
      <c r="P14" s="65"/>
      <c r="Q14" s="65"/>
      <c r="R14" s="65"/>
      <c r="S14" s="65"/>
      <c r="T14" s="65"/>
      <c r="U14" s="65"/>
      <c r="W14">
        <v>8</v>
      </c>
      <c r="X14">
        <v>0</v>
      </c>
      <c r="Y14">
        <v>109957</v>
      </c>
      <c r="Z14">
        <v>1369</v>
      </c>
    </row>
    <row r="15" spans="1:26" ht="14" customHeight="1">
      <c r="B15" s="20">
        <v>13</v>
      </c>
      <c r="C15" s="65">
        <v>894.63035019617348</v>
      </c>
      <c r="D15" s="73">
        <v>54</v>
      </c>
      <c r="E15" s="4">
        <v>275</v>
      </c>
      <c r="F15" s="20">
        <v>13</v>
      </c>
      <c r="G15" s="65">
        <v>719.06614786122509</v>
      </c>
      <c r="H15" s="65">
        <v>2477.509727630948</v>
      </c>
      <c r="I15" s="20">
        <v>13</v>
      </c>
      <c r="J15" s="3">
        <v>5.57</v>
      </c>
      <c r="K15" s="3">
        <v>7.6</v>
      </c>
      <c r="L15" s="20">
        <v>13</v>
      </c>
      <c r="O15" s="20">
        <v>13</v>
      </c>
      <c r="P15" s="65"/>
      <c r="Q15" s="65"/>
      <c r="R15" s="65"/>
      <c r="S15" s="65"/>
      <c r="T15" s="65"/>
      <c r="U15" s="65"/>
      <c r="W15">
        <v>5</v>
      </c>
      <c r="X15">
        <v>0</v>
      </c>
      <c r="Y15">
        <v>110579</v>
      </c>
      <c r="Z15">
        <v>1377</v>
      </c>
    </row>
    <row r="16" spans="1:26" ht="14" customHeight="1">
      <c r="B16" s="20">
        <v>14</v>
      </c>
      <c r="C16" s="65">
        <v>2394.5960264937585</v>
      </c>
      <c r="D16" s="73">
        <v>52.8</v>
      </c>
      <c r="E16" s="4">
        <v>265</v>
      </c>
      <c r="F16" s="20">
        <v>14</v>
      </c>
      <c r="G16" s="65">
        <v>641.80132450430085</v>
      </c>
      <c r="H16" s="65">
        <v>5897.3245033203521</v>
      </c>
      <c r="I16" s="20">
        <v>14</v>
      </c>
      <c r="J16" s="3">
        <v>5.69</v>
      </c>
      <c r="K16" s="3">
        <v>7.58</v>
      </c>
      <c r="L16" s="20">
        <v>14</v>
      </c>
      <c r="O16" s="20">
        <v>14</v>
      </c>
      <c r="P16" s="65"/>
      <c r="Q16" s="65"/>
      <c r="R16" s="65"/>
      <c r="S16" s="65"/>
      <c r="T16" s="65"/>
      <c r="U16" s="65"/>
      <c r="W16">
        <v>7</v>
      </c>
      <c r="X16">
        <v>0</v>
      </c>
      <c r="Y16">
        <v>113457</v>
      </c>
      <c r="Z16">
        <v>1394</v>
      </c>
    </row>
    <row r="17" spans="1:26" ht="14" customHeight="1">
      <c r="B17" s="20">
        <v>15</v>
      </c>
      <c r="C17" s="65">
        <v>2514.4206641958408</v>
      </c>
      <c r="D17" s="73">
        <v>54.3</v>
      </c>
      <c r="E17" s="4">
        <v>180</v>
      </c>
      <c r="F17" s="20">
        <v>15</v>
      </c>
      <c r="G17" s="65">
        <v>574.93726937022393</v>
      </c>
      <c r="H17" s="65">
        <v>5463.4981549580798</v>
      </c>
      <c r="I17" s="20">
        <v>15</v>
      </c>
      <c r="J17" s="3">
        <v>5.57</v>
      </c>
      <c r="K17" s="3">
        <v>7.46</v>
      </c>
      <c r="L17" s="20">
        <v>15</v>
      </c>
      <c r="O17" s="20">
        <v>15</v>
      </c>
      <c r="P17" s="65"/>
      <c r="Q17" s="65"/>
      <c r="R17" s="65"/>
      <c r="S17" s="65"/>
      <c r="T17" s="65"/>
      <c r="U17" s="65"/>
      <c r="V17"/>
      <c r="W17">
        <v>7</v>
      </c>
      <c r="X17">
        <v>0</v>
      </c>
      <c r="Y17">
        <v>115857</v>
      </c>
      <c r="Z17">
        <v>1408</v>
      </c>
    </row>
    <row r="18" spans="1:26" ht="14" customHeight="1">
      <c r="B18" s="20">
        <v>16</v>
      </c>
      <c r="C18" s="65">
        <v>2876.0275862045874</v>
      </c>
      <c r="D18" s="73">
        <v>54.6</v>
      </c>
      <c r="E18" s="4">
        <v>515</v>
      </c>
      <c r="F18" s="20">
        <v>16</v>
      </c>
      <c r="G18" s="65">
        <v>649.48965517189231</v>
      </c>
      <c r="H18" s="65">
        <v>6863.3379310289729</v>
      </c>
      <c r="I18" s="20">
        <v>16</v>
      </c>
      <c r="L18" s="20">
        <v>16</v>
      </c>
      <c r="O18" s="20">
        <v>16</v>
      </c>
      <c r="P18" s="65"/>
      <c r="Q18" s="65"/>
      <c r="R18" s="65"/>
      <c r="S18" s="65"/>
      <c r="T18" s="65"/>
      <c r="U18" s="65"/>
      <c r="V18"/>
      <c r="W18">
        <v>5</v>
      </c>
      <c r="X18">
        <v>0</v>
      </c>
      <c r="Y18">
        <v>118857</v>
      </c>
      <c r="Z18">
        <v>1428</v>
      </c>
    </row>
    <row r="19" spans="1:26" ht="14" customHeight="1">
      <c r="B19" s="20">
        <v>17</v>
      </c>
      <c r="C19" s="65">
        <v>3196.2947368577725</v>
      </c>
      <c r="D19" s="73">
        <v>48.6</v>
      </c>
      <c r="E19" s="4">
        <v>1555</v>
      </c>
      <c r="F19" s="20">
        <v>17</v>
      </c>
      <c r="G19" s="65">
        <v>722.52631579301533</v>
      </c>
      <c r="H19" s="65">
        <v>6812.9684210860269</v>
      </c>
      <c r="I19" s="20">
        <v>17</v>
      </c>
      <c r="L19" s="20">
        <v>17</v>
      </c>
      <c r="O19" s="20">
        <v>17</v>
      </c>
      <c r="P19" s="65"/>
      <c r="Q19" s="65"/>
      <c r="R19" s="65"/>
      <c r="S19" s="65"/>
      <c r="T19" s="65"/>
      <c r="U19" s="65"/>
      <c r="V19"/>
      <c r="W19">
        <v>6</v>
      </c>
      <c r="X19">
        <v>0</v>
      </c>
      <c r="Y19">
        <v>122057</v>
      </c>
      <c r="Z19">
        <v>1446</v>
      </c>
    </row>
    <row r="20" spans="1:26" ht="14" customHeight="1">
      <c r="B20" s="20">
        <v>18</v>
      </c>
      <c r="C20" s="65">
        <v>2211</v>
      </c>
      <c r="D20" s="73">
        <v>56.1</v>
      </c>
      <c r="E20" s="4">
        <v>270</v>
      </c>
      <c r="F20" s="20">
        <v>18</v>
      </c>
      <c r="G20" s="65">
        <v>734</v>
      </c>
      <c r="H20" s="65">
        <v>6043</v>
      </c>
      <c r="I20" s="20">
        <v>18</v>
      </c>
      <c r="J20" s="3">
        <v>5.47</v>
      </c>
      <c r="K20" s="3">
        <v>7.37</v>
      </c>
      <c r="L20" s="20">
        <v>18</v>
      </c>
      <c r="O20" s="20">
        <v>18</v>
      </c>
      <c r="P20" s="65"/>
      <c r="Q20" s="65"/>
      <c r="R20" s="65"/>
      <c r="S20" s="65"/>
      <c r="T20" s="65"/>
      <c r="U20" s="65"/>
      <c r="V20"/>
      <c r="W20">
        <v>8</v>
      </c>
      <c r="X20">
        <v>0</v>
      </c>
      <c r="Y20">
        <v>124257</v>
      </c>
      <c r="Z20">
        <v>1463</v>
      </c>
    </row>
    <row r="21" spans="1:26" ht="14" customHeight="1">
      <c r="A21" s="65"/>
      <c r="B21" s="20">
        <v>19</v>
      </c>
      <c r="C21" s="65">
        <v>1826.0425531824435</v>
      </c>
      <c r="D21" s="73">
        <v>57.8</v>
      </c>
      <c r="E21" s="4">
        <v>180</v>
      </c>
      <c r="F21" s="20">
        <v>19</v>
      </c>
      <c r="G21" s="65">
        <v>581.10638297584467</v>
      </c>
      <c r="H21" s="65">
        <v>6786.382978689785</v>
      </c>
      <c r="I21" s="20">
        <v>19</v>
      </c>
      <c r="J21" s="3">
        <v>5.48</v>
      </c>
      <c r="K21" s="3">
        <v>7.54</v>
      </c>
      <c r="L21" s="20">
        <v>19</v>
      </c>
      <c r="O21" s="20">
        <v>19</v>
      </c>
      <c r="P21" s="65"/>
      <c r="Q21" s="65"/>
      <c r="R21" s="65"/>
      <c r="S21" s="65"/>
      <c r="T21" s="65"/>
      <c r="U21" s="65"/>
      <c r="V21"/>
      <c r="W21">
        <v>6</v>
      </c>
      <c r="X21">
        <v>0</v>
      </c>
      <c r="Y21">
        <v>126057</v>
      </c>
      <c r="Z21">
        <v>1482</v>
      </c>
    </row>
    <row r="22" spans="1:26" ht="14" customHeight="1">
      <c r="B22" s="20">
        <v>20</v>
      </c>
      <c r="C22" s="65">
        <v>2317.6331361074463</v>
      </c>
      <c r="D22" s="73">
        <v>58</v>
      </c>
      <c r="E22" s="4">
        <v>85</v>
      </c>
      <c r="F22" s="20">
        <v>20</v>
      </c>
      <c r="G22" s="65">
        <v>700.59171598019213</v>
      </c>
      <c r="H22" s="65">
        <v>7876.9230769664846</v>
      </c>
      <c r="I22" s="20">
        <v>20</v>
      </c>
      <c r="J22" s="3">
        <v>5.51</v>
      </c>
      <c r="K22" s="3">
        <v>7.52</v>
      </c>
      <c r="L22" s="20">
        <v>20</v>
      </c>
      <c r="O22" s="20">
        <v>20</v>
      </c>
      <c r="P22" s="65"/>
      <c r="Q22" s="65"/>
      <c r="R22" s="65"/>
      <c r="S22" s="65"/>
      <c r="T22" s="65"/>
      <c r="U22" s="65"/>
      <c r="V22"/>
      <c r="W22">
        <v>5</v>
      </c>
      <c r="X22">
        <v>0</v>
      </c>
      <c r="Y22">
        <v>124557</v>
      </c>
      <c r="Z22">
        <v>1504</v>
      </c>
    </row>
    <row r="23" spans="1:26" ht="14" customHeight="1">
      <c r="B23" s="20">
        <v>21</v>
      </c>
      <c r="C23" s="65">
        <v>2169.6405919586978</v>
      </c>
      <c r="D23" s="73">
        <v>58.4</v>
      </c>
      <c r="E23" s="4">
        <v>205</v>
      </c>
      <c r="F23" s="20">
        <v>21</v>
      </c>
      <c r="G23" s="65">
        <v>724.5665961920065</v>
      </c>
      <c r="H23" s="65">
        <v>7886.004228302636</v>
      </c>
      <c r="I23" s="20">
        <v>21</v>
      </c>
      <c r="L23" s="20">
        <v>21</v>
      </c>
      <c r="O23" s="20">
        <v>21</v>
      </c>
      <c r="P23" s="65"/>
      <c r="Q23" s="65"/>
      <c r="R23" s="65"/>
      <c r="S23" s="65"/>
      <c r="T23" s="65"/>
      <c r="U23" s="65"/>
      <c r="V23"/>
      <c r="W23">
        <v>5</v>
      </c>
      <c r="X23">
        <v>0</v>
      </c>
      <c r="Y23">
        <v>130757</v>
      </c>
      <c r="Z23">
        <v>1523</v>
      </c>
    </row>
    <row r="24" spans="1:26" ht="14" customHeight="1">
      <c r="B24" s="20">
        <v>22</v>
      </c>
      <c r="C24" s="65">
        <v>1981.8129496336487</v>
      </c>
      <c r="D24" s="73">
        <v>58</v>
      </c>
      <c r="E24" s="4">
        <v>265</v>
      </c>
      <c r="F24" s="20">
        <v>22</v>
      </c>
      <c r="G24" s="65">
        <v>600.86330935050501</v>
      </c>
      <c r="H24" s="65">
        <v>7453.8129496153169</v>
      </c>
      <c r="I24" s="20">
        <v>22</v>
      </c>
      <c r="J24" s="3">
        <v>5.15</v>
      </c>
      <c r="K24" s="3">
        <v>7.27</v>
      </c>
      <c r="L24" s="20">
        <v>22</v>
      </c>
      <c r="O24" s="20">
        <v>22</v>
      </c>
      <c r="P24" s="65"/>
      <c r="Q24" s="65"/>
      <c r="R24" s="65"/>
      <c r="S24" s="65"/>
      <c r="T24" s="65"/>
      <c r="U24" s="65"/>
      <c r="V24"/>
      <c r="W24">
        <v>4</v>
      </c>
      <c r="X24">
        <v>0</v>
      </c>
      <c r="Y24">
        <v>132657</v>
      </c>
      <c r="Z24">
        <v>1545</v>
      </c>
    </row>
    <row r="25" spans="1:26" ht="14" customHeight="1">
      <c r="B25" s="20">
        <v>23</v>
      </c>
      <c r="C25" s="65">
        <v>1807.4482758736781</v>
      </c>
      <c r="D25" s="73">
        <v>57.5</v>
      </c>
      <c r="E25" s="4">
        <v>260</v>
      </c>
      <c r="F25" s="20">
        <v>23</v>
      </c>
      <c r="G25" s="65">
        <v>627.64137931437608</v>
      </c>
      <c r="H25" s="65">
        <v>6893.1310345270322</v>
      </c>
      <c r="I25" s="20">
        <v>23</v>
      </c>
      <c r="J25" s="3">
        <v>5.17</v>
      </c>
      <c r="K25" s="3">
        <v>7.47</v>
      </c>
      <c r="L25" s="20">
        <v>23</v>
      </c>
      <c r="O25" s="20">
        <v>23</v>
      </c>
      <c r="P25" s="65"/>
      <c r="Q25" s="65"/>
      <c r="R25" s="65"/>
      <c r="S25" s="65"/>
      <c r="T25" s="65"/>
      <c r="U25" s="65"/>
      <c r="V25"/>
      <c r="W25">
        <v>2</v>
      </c>
      <c r="X25">
        <v>0</v>
      </c>
      <c r="Y25">
        <v>134557</v>
      </c>
      <c r="Z25">
        <v>1564</v>
      </c>
    </row>
    <row r="26" spans="1:26" ht="14" customHeight="1">
      <c r="B26" s="20">
        <v>24</v>
      </c>
      <c r="C26" s="65">
        <v>2212.6829268220881</v>
      </c>
      <c r="D26" s="73">
        <v>57.4</v>
      </c>
      <c r="E26" s="4">
        <v>275</v>
      </c>
      <c r="F26" s="20">
        <v>24</v>
      </c>
      <c r="G26" s="65">
        <v>662.2996515657951</v>
      </c>
      <c r="H26" s="65">
        <v>8554.703832724852</v>
      </c>
      <c r="I26" s="20">
        <v>24</v>
      </c>
      <c r="J26" s="3">
        <v>5.08</v>
      </c>
      <c r="K26" s="3">
        <v>7.45</v>
      </c>
      <c r="L26" s="20">
        <v>24</v>
      </c>
      <c r="O26" s="20">
        <v>24</v>
      </c>
      <c r="P26" s="65"/>
      <c r="Q26" s="65"/>
      <c r="R26" s="65"/>
      <c r="S26" s="65"/>
      <c r="T26" s="65"/>
      <c r="U26" s="65"/>
      <c r="V26"/>
      <c r="W26">
        <v>1</v>
      </c>
      <c r="X26">
        <v>0</v>
      </c>
      <c r="Y26">
        <v>136757</v>
      </c>
      <c r="Z26">
        <v>1587</v>
      </c>
    </row>
    <row r="27" spans="1:26" ht="14" customHeight="1">
      <c r="B27" s="20">
        <v>25</v>
      </c>
      <c r="C27" s="65">
        <v>2322.3624161146404</v>
      </c>
      <c r="D27" s="73">
        <v>56.9</v>
      </c>
      <c r="E27" s="4">
        <v>130</v>
      </c>
      <c r="F27" s="20">
        <v>25</v>
      </c>
      <c r="G27" s="65">
        <v>676.51006711620812</v>
      </c>
      <c r="H27" s="65">
        <v>9027.5436241892876</v>
      </c>
      <c r="I27" s="20">
        <v>25</v>
      </c>
      <c r="J27" s="3">
        <v>5.03</v>
      </c>
      <c r="K27" s="3">
        <v>7.5</v>
      </c>
      <c r="L27" s="20">
        <v>25</v>
      </c>
      <c r="O27" s="20">
        <v>25</v>
      </c>
      <c r="P27" s="65"/>
      <c r="Q27" s="65"/>
      <c r="R27" s="65"/>
      <c r="S27" s="65"/>
      <c r="T27" s="65"/>
      <c r="U27" s="65"/>
      <c r="V27"/>
      <c r="W27">
        <v>0</v>
      </c>
      <c r="X27">
        <v>0</v>
      </c>
      <c r="Y27">
        <v>139257</v>
      </c>
      <c r="Z27">
        <v>1613</v>
      </c>
    </row>
    <row r="28" spans="1:26" ht="14" customHeight="1">
      <c r="B28" s="20">
        <v>26</v>
      </c>
      <c r="C28" s="65">
        <v>2133.5255948007025</v>
      </c>
      <c r="D28" s="73">
        <v>58.7</v>
      </c>
      <c r="E28" s="4">
        <v>83</v>
      </c>
      <c r="F28" s="20">
        <v>26</v>
      </c>
      <c r="G28" s="65">
        <v>588.66618601070491</v>
      </c>
      <c r="H28" s="65">
        <v>7995.2703676692036</v>
      </c>
      <c r="I28" s="20">
        <v>26</v>
      </c>
      <c r="J28" s="3">
        <v>5.05</v>
      </c>
      <c r="K28" s="3">
        <v>7.52</v>
      </c>
      <c r="L28" s="20">
        <v>26</v>
      </c>
      <c r="O28" s="20">
        <v>26</v>
      </c>
      <c r="P28" s="65"/>
      <c r="Q28" s="65"/>
      <c r="R28" s="65"/>
      <c r="S28" s="65"/>
      <c r="T28" s="65"/>
      <c r="U28" s="65"/>
      <c r="V28"/>
      <c r="W28">
        <v>1</v>
      </c>
      <c r="X28">
        <v>0</v>
      </c>
      <c r="Y28">
        <v>141357</v>
      </c>
      <c r="Z28">
        <v>1633</v>
      </c>
    </row>
    <row r="29" spans="1:26" ht="14" customHeight="1">
      <c r="B29" s="20">
        <v>27</v>
      </c>
      <c r="C29" s="65">
        <v>2434.4529616823484</v>
      </c>
      <c r="D29" s="73">
        <v>57</v>
      </c>
      <c r="E29" s="4">
        <v>385</v>
      </c>
      <c r="F29" s="20">
        <v>27</v>
      </c>
      <c r="G29" s="65">
        <v>632.19512195378388</v>
      </c>
      <c r="H29" s="65">
        <v>6522.6480836501505</v>
      </c>
      <c r="I29" s="20">
        <v>27</v>
      </c>
      <c r="J29" s="3">
        <v>5.0599999999999996</v>
      </c>
      <c r="K29" s="3">
        <v>7.43</v>
      </c>
      <c r="L29" s="20">
        <v>27</v>
      </c>
      <c r="O29" s="20">
        <v>27</v>
      </c>
      <c r="P29" s="65"/>
      <c r="Q29" s="65"/>
      <c r="R29" s="65"/>
      <c r="S29" s="65"/>
      <c r="T29" s="65"/>
      <c r="U29" s="65"/>
      <c r="V29"/>
      <c r="W29">
        <v>1</v>
      </c>
      <c r="X29">
        <v>0</v>
      </c>
      <c r="Y29">
        <v>143757</v>
      </c>
      <c r="Z29">
        <v>1651</v>
      </c>
    </row>
    <row r="30" spans="1:26" ht="14" customHeight="1">
      <c r="B30" s="20">
        <v>28</v>
      </c>
      <c r="C30" s="65">
        <v>2814.3646408740219</v>
      </c>
      <c r="D30" s="73">
        <v>55.3</v>
      </c>
      <c r="E30" s="4">
        <v>110</v>
      </c>
      <c r="F30" s="20">
        <v>28</v>
      </c>
      <c r="G30" s="65">
        <v>646.40883977671888</v>
      </c>
      <c r="H30" s="65">
        <v>8059.2265193085068</v>
      </c>
      <c r="I30" s="20">
        <v>28</v>
      </c>
      <c r="J30" s="3">
        <v>4.8899999999999997</v>
      </c>
      <c r="K30" s="3">
        <v>7.51</v>
      </c>
      <c r="L30" s="20">
        <v>28</v>
      </c>
      <c r="O30" s="20">
        <v>28</v>
      </c>
      <c r="P30" s="65"/>
      <c r="Q30" s="65"/>
      <c r="R30" s="65"/>
      <c r="S30" s="65"/>
      <c r="T30" s="65"/>
      <c r="U30" s="65"/>
      <c r="V30"/>
      <c r="W30">
        <v>1</v>
      </c>
      <c r="X30">
        <v>0</v>
      </c>
      <c r="Y30">
        <v>146657</v>
      </c>
      <c r="Z30">
        <v>1674</v>
      </c>
    </row>
    <row r="31" spans="1:26">
      <c r="B31" s="20">
        <v>29</v>
      </c>
      <c r="C31" s="65">
        <v>2614.7628866042141</v>
      </c>
      <c r="D31" s="73">
        <v>55.8</v>
      </c>
      <c r="E31" s="4">
        <v>120</v>
      </c>
      <c r="F31" s="20">
        <v>29</v>
      </c>
      <c r="G31" s="65">
        <v>577.97938144468628</v>
      </c>
      <c r="H31" s="65">
        <v>8101.6082474421273</v>
      </c>
      <c r="I31" s="20">
        <v>29</v>
      </c>
      <c r="J31" s="3">
        <v>4.91</v>
      </c>
      <c r="K31" s="3">
        <v>7.74</v>
      </c>
      <c r="L31" s="20">
        <v>29</v>
      </c>
      <c r="O31" s="20">
        <v>29</v>
      </c>
      <c r="P31" s="65"/>
      <c r="Q31" s="65"/>
      <c r="R31" s="65"/>
      <c r="S31" s="65"/>
      <c r="T31" s="65"/>
      <c r="U31" s="65"/>
      <c r="V31"/>
      <c r="W31">
        <v>1</v>
      </c>
      <c r="X31">
        <v>0</v>
      </c>
      <c r="Y31">
        <v>149357</v>
      </c>
      <c r="Z31">
        <v>1698</v>
      </c>
    </row>
    <row r="32" spans="1:26">
      <c r="B32" s="20">
        <v>30</v>
      </c>
      <c r="C32" s="65">
        <v>2212.5653047479345</v>
      </c>
      <c r="D32" s="73">
        <v>56.1</v>
      </c>
      <c r="E32" s="4">
        <v>195</v>
      </c>
      <c r="F32" s="20">
        <v>30</v>
      </c>
      <c r="G32" s="65">
        <v>566.16208975023437</v>
      </c>
      <c r="H32" s="65">
        <v>7303.2016074766179</v>
      </c>
      <c r="I32" s="20">
        <v>30</v>
      </c>
      <c r="J32" s="3">
        <v>4.92</v>
      </c>
      <c r="K32" s="3">
        <v>7.58</v>
      </c>
      <c r="L32" s="20">
        <v>30</v>
      </c>
      <c r="O32" s="20">
        <v>30</v>
      </c>
      <c r="P32" s="65"/>
      <c r="Q32" s="65"/>
      <c r="R32" s="65"/>
      <c r="S32" s="65"/>
      <c r="T32" s="65"/>
      <c r="U32" s="65"/>
      <c r="V32"/>
      <c r="W32">
        <v>3</v>
      </c>
      <c r="X32">
        <v>0</v>
      </c>
      <c r="Y32">
        <v>151657</v>
      </c>
      <c r="Z32">
        <v>1720</v>
      </c>
    </row>
    <row r="33" spans="2:26">
      <c r="B33" s="20">
        <v>31</v>
      </c>
      <c r="C33" s="66">
        <v>2095.5066079338139</v>
      </c>
      <c r="D33" s="80">
        <v>58.1</v>
      </c>
      <c r="E33" s="81">
        <v>165</v>
      </c>
      <c r="F33" s="17">
        <v>31</v>
      </c>
      <c r="G33" s="65">
        <v>685.11013215999571</v>
      </c>
      <c r="H33" s="65">
        <v>7277.1806167550158</v>
      </c>
      <c r="I33" s="20">
        <v>31</v>
      </c>
      <c r="J33" s="3">
        <v>4.92</v>
      </c>
      <c r="K33" s="3">
        <v>7.74</v>
      </c>
      <c r="L33" s="20">
        <v>31</v>
      </c>
      <c r="O33" s="17">
        <v>31</v>
      </c>
      <c r="W33">
        <v>2</v>
      </c>
      <c r="X33">
        <v>0</v>
      </c>
      <c r="Y33">
        <v>153657</v>
      </c>
      <c r="Z33">
        <v>1739</v>
      </c>
    </row>
    <row r="34" spans="2:26">
      <c r="B34" s="20"/>
      <c r="F34" s="17"/>
      <c r="L34" s="20"/>
      <c r="O34" s="17"/>
    </row>
    <row r="35" spans="2:26" s="7" customFormat="1">
      <c r="B35" s="7" t="s">
        <v>22</v>
      </c>
      <c r="C35" s="67">
        <f>AVERAGE(C3:C33)</f>
        <v>2106.8091170739926</v>
      </c>
      <c r="D35" s="13">
        <f>AVERAGE(D3:D32)</f>
        <v>55.146666666666675</v>
      </c>
      <c r="E35" s="75">
        <f>AVERAGE(E3:E32)</f>
        <v>279.10000000000002</v>
      </c>
      <c r="F35" s="18" t="s">
        <v>22</v>
      </c>
      <c r="G35" s="67">
        <f>AVERAGE(G3:G32)</f>
        <v>645.33520646531008</v>
      </c>
      <c r="H35" s="67">
        <f>AVERAGE(H3:H33)</f>
        <v>6099.3144361544446</v>
      </c>
      <c r="I35" s="8"/>
      <c r="J35" s="14">
        <f>AVERAGE(J3:J32)</f>
        <v>5.3187999999999995</v>
      </c>
      <c r="K35" s="14">
        <f>AVERAGE(K3:K32)</f>
        <v>7.547600000000001</v>
      </c>
      <c r="L35" s="21"/>
      <c r="M35" s="76"/>
      <c r="N35" s="15" t="e">
        <f>AVERAGE(N3:N30)</f>
        <v>#DIV/0!</v>
      </c>
      <c r="O35" s="18" t="s">
        <v>22</v>
      </c>
      <c r="P35" s="78" t="e">
        <f>AVERAGE(P3:P30)</f>
        <v>#DIV/0!</v>
      </c>
      <c r="Q35" s="78" t="s">
        <v>0</v>
      </c>
      <c r="R35" s="78" t="e">
        <f>AVERAGE(R3:R30)</f>
        <v>#DIV/0!</v>
      </c>
      <c r="S35" s="78" t="e">
        <f>AVERAGE(S3:S30)</f>
        <v>#DIV/0!</v>
      </c>
      <c r="T35" s="78" t="e">
        <f>AVERAGE(T3:T30)</f>
        <v>#DIV/0!</v>
      </c>
      <c r="U35" s="78" t="e">
        <f>AVERAGE(U3:U30)</f>
        <v>#DIV/0!</v>
      </c>
      <c r="V35" s="16"/>
    </row>
    <row r="36" spans="2:26" s="7" customFormat="1">
      <c r="B36" s="7" t="s">
        <v>23</v>
      </c>
      <c r="C36" s="67">
        <f>STDEV(C3:C33)</f>
        <v>476.24297589952107</v>
      </c>
      <c r="D36" s="13">
        <f>STDEV(D3:D32)</f>
        <v>2.3598266057478465</v>
      </c>
      <c r="E36" s="75">
        <f>STDEV(E3:E32)</f>
        <v>296.27484327667901</v>
      </c>
      <c r="F36" s="18" t="s">
        <v>23</v>
      </c>
      <c r="G36" s="67">
        <f>STDEV(G3:G32)</f>
        <v>66.131335106572408</v>
      </c>
      <c r="H36" s="67">
        <f>STDEV(H3:H33)</f>
        <v>1625.1073617269603</v>
      </c>
      <c r="I36" s="8"/>
      <c r="J36" s="14">
        <f>STDEV(J3:J32)</f>
        <v>0.25939545100097661</v>
      </c>
      <c r="K36" s="14">
        <f>STDEV(K3:K32)</f>
        <v>0.10453388605296057</v>
      </c>
      <c r="L36" s="21"/>
      <c r="M36" s="76"/>
      <c r="N36" s="15" t="e">
        <f>STDEV(N3:N30)</f>
        <v>#DIV/0!</v>
      </c>
      <c r="O36" s="18" t="s">
        <v>23</v>
      </c>
      <c r="P36" s="78" t="e">
        <f>STDEV(P3:P30)</f>
        <v>#DIV/0!</v>
      </c>
      <c r="Q36" s="78" t="s">
        <v>0</v>
      </c>
      <c r="R36" s="78" t="e">
        <f>STDEV(R3:R30)</f>
        <v>#DIV/0!</v>
      </c>
      <c r="S36" s="78" t="e">
        <f>STDEV(S3:S30)</f>
        <v>#DIV/0!</v>
      </c>
      <c r="T36" s="78" t="e">
        <f>STDEV(T3:T30)</f>
        <v>#DIV/0!</v>
      </c>
      <c r="U36" s="78" t="e">
        <f>STDEV(U3:U30)</f>
        <v>#DIV/0!</v>
      </c>
      <c r="V36" s="16"/>
    </row>
  </sheetData>
  <pageMargins left="0.75" right="0.75" top="1" bottom="1" header="0.5" footer="0.5"/>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workbookViewId="0">
      <pane xSplit="2" ySplit="2" topLeftCell="C3" activePane="bottomRight" state="frozen"/>
      <selection pane="topRight" activeCell="C1" sqref="C1"/>
      <selection pane="bottomLeft" activeCell="A3" sqref="A3"/>
      <selection pane="bottomRight" activeCell="X29" sqref="X29"/>
    </sheetView>
  </sheetViews>
  <sheetFormatPr baseColWidth="10" defaultRowHeight="15" x14ac:dyDescent="0"/>
  <cols>
    <col min="1" max="1" width="11.6640625" customWidth="1"/>
    <col min="2" max="2" width="6.33203125" customWidth="1"/>
    <col min="3" max="3" width="10.83203125" style="66"/>
    <col min="4" max="4" width="10.83203125" style="2"/>
    <col min="5" max="5" width="10.83203125" style="22"/>
    <col min="6" max="6" width="4.6640625" style="2" customWidth="1"/>
    <col min="7" max="8" width="10.83203125" style="65"/>
    <col min="9" max="9" width="5" customWidth="1"/>
    <col min="10" max="10" width="10.6640625" style="3" customWidth="1"/>
    <col min="11" max="11" width="8" style="3" customWidth="1"/>
    <col min="12" max="12" width="4.6640625" style="22" customWidth="1"/>
    <col min="13" max="14" width="10.83203125" style="5"/>
    <col min="15" max="15" width="5.1640625" customWidth="1"/>
    <col min="16" max="16" width="10" style="66" customWidth="1"/>
    <col min="17" max="18" width="10.1640625" style="66" customWidth="1"/>
    <col min="19" max="21" width="8.6640625" style="66" customWidth="1"/>
    <col min="22" max="22" width="3.83203125" style="6" customWidth="1"/>
    <col min="23" max="24" width="9.83203125" customWidth="1"/>
  </cols>
  <sheetData>
    <row r="1" spans="1:26" s="9" customFormat="1" ht="18">
      <c r="A1" s="9" t="s">
        <v>42</v>
      </c>
      <c r="C1" s="63"/>
      <c r="D1" s="12"/>
      <c r="E1" s="19"/>
      <c r="F1" s="12"/>
      <c r="G1" s="70"/>
      <c r="H1" s="70"/>
      <c r="J1" s="72"/>
      <c r="K1" s="72"/>
      <c r="L1" s="19"/>
      <c r="M1" s="68"/>
      <c r="N1" s="68"/>
      <c r="P1" s="63"/>
      <c r="Q1" s="63"/>
      <c r="R1" s="63"/>
      <c r="S1" s="63"/>
      <c r="T1" s="63"/>
      <c r="U1" s="63"/>
      <c r="V1" s="11"/>
    </row>
    <row r="2" spans="1:26" s="23" customFormat="1" ht="60">
      <c r="A2" s="23" t="s">
        <v>12</v>
      </c>
      <c r="B2" s="24" t="s">
        <v>41</v>
      </c>
      <c r="C2" s="64" t="s">
        <v>28</v>
      </c>
      <c r="D2" s="26" t="s">
        <v>9</v>
      </c>
      <c r="E2" s="74" t="s">
        <v>10</v>
      </c>
      <c r="F2" s="27" t="s">
        <v>24</v>
      </c>
      <c r="G2" s="71" t="s">
        <v>29</v>
      </c>
      <c r="H2" s="71" t="s">
        <v>30</v>
      </c>
      <c r="I2" s="27" t="s">
        <v>24</v>
      </c>
      <c r="J2" s="28" t="s">
        <v>1</v>
      </c>
      <c r="K2" s="28" t="s">
        <v>11</v>
      </c>
      <c r="L2" s="30" t="s">
        <v>24</v>
      </c>
      <c r="M2" s="69" t="s">
        <v>13</v>
      </c>
      <c r="N2" s="69" t="s">
        <v>14</v>
      </c>
      <c r="O2" s="27" t="s">
        <v>24</v>
      </c>
      <c r="P2" s="77" t="s">
        <v>111</v>
      </c>
      <c r="Q2" s="77" t="s">
        <v>16</v>
      </c>
      <c r="R2" s="77" t="s">
        <v>17</v>
      </c>
      <c r="S2" s="77" t="s">
        <v>18</v>
      </c>
      <c r="T2" s="77" t="s">
        <v>19</v>
      </c>
      <c r="U2" s="77" t="s">
        <v>20</v>
      </c>
      <c r="V2" s="32"/>
      <c r="W2" s="23" t="s">
        <v>5</v>
      </c>
      <c r="X2" s="23" t="s">
        <v>6</v>
      </c>
      <c r="Y2" s="23" t="s">
        <v>7</v>
      </c>
      <c r="Z2" s="23" t="s">
        <v>8</v>
      </c>
    </row>
    <row r="3" spans="1:26" ht="14" customHeight="1">
      <c r="B3" s="20">
        <v>1</v>
      </c>
      <c r="C3" s="65">
        <v>2778.5635359017729</v>
      </c>
      <c r="D3">
        <v>58.6</v>
      </c>
      <c r="E3">
        <v>120</v>
      </c>
      <c r="F3" s="20">
        <v>1</v>
      </c>
      <c r="G3" s="65">
        <v>708.06629834003661</v>
      </c>
      <c r="H3" s="65">
        <v>8442.0994474839481</v>
      </c>
      <c r="I3" s="20">
        <v>1</v>
      </c>
      <c r="J3" s="3">
        <v>4.96</v>
      </c>
      <c r="K3" s="3">
        <v>7.5</v>
      </c>
      <c r="L3" s="20">
        <v>1</v>
      </c>
      <c r="O3" s="20">
        <v>1</v>
      </c>
      <c r="P3" s="65"/>
      <c r="Q3" s="65"/>
      <c r="R3" s="65"/>
      <c r="S3" s="65"/>
      <c r="T3" s="65"/>
      <c r="U3" s="65"/>
      <c r="W3">
        <v>0</v>
      </c>
      <c r="X3">
        <v>0</v>
      </c>
      <c r="Y3">
        <v>156457</v>
      </c>
      <c r="Z3">
        <v>1763</v>
      </c>
    </row>
    <row r="4" spans="1:26" ht="14" customHeight="1">
      <c r="B4" s="20">
        <v>2</v>
      </c>
      <c r="C4" s="65">
        <v>2929.7560975776132</v>
      </c>
      <c r="D4">
        <v>57</v>
      </c>
      <c r="E4">
        <v>130</v>
      </c>
      <c r="F4" s="20">
        <v>2</v>
      </c>
      <c r="G4" s="65">
        <v>743.41463415056319</v>
      </c>
      <c r="H4" s="65">
        <v>8403.9024390721152</v>
      </c>
      <c r="I4" s="20">
        <v>2</v>
      </c>
      <c r="L4" s="20">
        <v>2</v>
      </c>
      <c r="O4" s="20">
        <v>2</v>
      </c>
      <c r="P4" s="65"/>
      <c r="Q4" s="65"/>
      <c r="R4" s="65"/>
      <c r="S4" s="65"/>
      <c r="T4" s="65"/>
      <c r="U4" s="65"/>
      <c r="W4">
        <v>0</v>
      </c>
      <c r="X4">
        <v>0</v>
      </c>
      <c r="Y4">
        <v>159557</v>
      </c>
      <c r="Z4">
        <v>1788</v>
      </c>
    </row>
    <row r="5" spans="1:26" ht="14" customHeight="1">
      <c r="B5" s="20">
        <v>3</v>
      </c>
      <c r="C5" s="65"/>
      <c r="D5"/>
      <c r="E5"/>
      <c r="F5" s="20">
        <v>3</v>
      </c>
      <c r="I5" s="20">
        <v>3</v>
      </c>
      <c r="L5" s="20">
        <v>3</v>
      </c>
      <c r="O5" s="20">
        <v>3</v>
      </c>
      <c r="P5" s="65"/>
      <c r="Q5" s="65"/>
      <c r="R5" s="65"/>
      <c r="S5" s="65"/>
      <c r="T5" s="65"/>
      <c r="U5" s="65"/>
    </row>
    <row r="6" spans="1:26" ht="14" customHeight="1">
      <c r="B6" s="20">
        <v>4</v>
      </c>
      <c r="C6" s="65">
        <v>2223.5519319337068</v>
      </c>
      <c r="D6">
        <v>57.9</v>
      </c>
      <c r="E6">
        <v>130</v>
      </c>
      <c r="F6" s="20">
        <v>4</v>
      </c>
      <c r="G6" s="65">
        <v>597.23502304004523</v>
      </c>
      <c r="H6" s="65">
        <v>7098.9294576221437</v>
      </c>
      <c r="I6" s="20">
        <v>4</v>
      </c>
      <c r="J6" s="3">
        <v>4.82</v>
      </c>
      <c r="K6" s="3">
        <v>7.91</v>
      </c>
      <c r="L6" s="20">
        <v>4</v>
      </c>
      <c r="O6" s="20">
        <v>4</v>
      </c>
      <c r="P6" s="65"/>
      <c r="Q6" s="65"/>
      <c r="R6" s="65"/>
      <c r="S6" s="65"/>
      <c r="T6" s="65"/>
      <c r="U6" s="65"/>
      <c r="W6">
        <v>3</v>
      </c>
      <c r="X6">
        <v>0</v>
      </c>
      <c r="Y6">
        <v>163957</v>
      </c>
      <c r="Z6">
        <v>1828</v>
      </c>
    </row>
    <row r="7" spans="1:26" ht="14" customHeight="1">
      <c r="B7" s="20">
        <v>5</v>
      </c>
      <c r="C7" s="65"/>
      <c r="D7"/>
      <c r="E7"/>
      <c r="F7" s="20">
        <v>5</v>
      </c>
      <c r="I7" s="20">
        <v>5</v>
      </c>
      <c r="L7" s="20">
        <v>5</v>
      </c>
      <c r="O7" s="20">
        <v>5</v>
      </c>
      <c r="P7" s="65"/>
      <c r="Q7" s="65"/>
      <c r="R7" s="65"/>
      <c r="S7" s="65"/>
      <c r="T7" s="65"/>
      <c r="U7" s="65"/>
    </row>
    <row r="8" spans="1:26" ht="14" customHeight="1">
      <c r="B8" s="20">
        <v>6</v>
      </c>
      <c r="C8" s="65">
        <v>2595.821708069931</v>
      </c>
      <c r="D8">
        <v>57.1</v>
      </c>
      <c r="E8">
        <v>85</v>
      </c>
      <c r="F8" s="20">
        <v>6</v>
      </c>
      <c r="G8" s="65">
        <v>607.55358965774155</v>
      </c>
      <c r="H8" s="65">
        <v>7695.3521606165232</v>
      </c>
      <c r="I8" s="20">
        <v>6</v>
      </c>
      <c r="J8" s="3">
        <v>4.84</v>
      </c>
      <c r="K8" s="3">
        <v>7.4</v>
      </c>
      <c r="L8" s="20">
        <v>6</v>
      </c>
      <c r="O8" s="20">
        <v>6</v>
      </c>
      <c r="P8" s="65"/>
      <c r="Q8" s="65"/>
      <c r="R8" s="65"/>
      <c r="S8" s="65"/>
      <c r="T8" s="65"/>
      <c r="U8" s="65"/>
      <c r="W8">
        <v>6</v>
      </c>
      <c r="X8">
        <v>0</v>
      </c>
      <c r="Y8">
        <v>169257</v>
      </c>
      <c r="Z8">
        <v>1873</v>
      </c>
    </row>
    <row r="9" spans="1:26" ht="14" customHeight="1">
      <c r="B9" s="20">
        <v>7</v>
      </c>
      <c r="C9" s="65">
        <v>2589.1220556577373</v>
      </c>
      <c r="D9">
        <v>42.8</v>
      </c>
      <c r="E9">
        <v>130</v>
      </c>
      <c r="F9" s="20">
        <v>7</v>
      </c>
      <c r="G9" s="65">
        <v>629.03640256551614</v>
      </c>
      <c r="H9" s="65">
        <v>7695.4175588366334</v>
      </c>
      <c r="I9" s="20">
        <v>7</v>
      </c>
      <c r="J9" s="3">
        <v>4.8499999999999996</v>
      </c>
      <c r="K9" s="3">
        <v>7.69</v>
      </c>
      <c r="L9" s="20">
        <v>7</v>
      </c>
      <c r="N9" s="5">
        <f>AVERAGE(0.48,0.47,0.5)</f>
        <v>0.48333333333333334</v>
      </c>
      <c r="O9" s="20">
        <v>7</v>
      </c>
      <c r="P9" s="65">
        <f>AVERAGE([1]Alkalinity!$M$26:$M$28)</f>
        <v>2600</v>
      </c>
      <c r="Q9" s="65"/>
      <c r="R9" s="65">
        <f>AVERAGE([1]Alkalinity!$O$26:$O$28)</f>
        <v>1500</v>
      </c>
      <c r="S9" s="65">
        <f>AVERAGE([1]Alkalinity!$M$29:$M$31)</f>
        <v>5891.666666666667</v>
      </c>
      <c r="T9" s="65">
        <f>AVERAGE([1]Alkalinity!$N$29:$N$31)</f>
        <v>3775</v>
      </c>
      <c r="U9" s="65">
        <f>AVERAGE([1]Alkalinity!$O$29:$O$31)</f>
        <v>1825</v>
      </c>
      <c r="W9">
        <v>3</v>
      </c>
      <c r="X9">
        <v>0</v>
      </c>
      <c r="Y9">
        <v>171957</v>
      </c>
      <c r="Z9">
        <v>1895</v>
      </c>
    </row>
    <row r="10" spans="1:26" ht="14" customHeight="1">
      <c r="B10" s="20">
        <v>8</v>
      </c>
      <c r="C10" s="65">
        <v>2544</v>
      </c>
      <c r="D10">
        <v>55.8</v>
      </c>
      <c r="E10">
        <v>155</v>
      </c>
      <c r="F10" s="20">
        <v>8</v>
      </c>
      <c r="G10" s="65">
        <v>659</v>
      </c>
      <c r="H10" s="65">
        <v>7582</v>
      </c>
      <c r="I10" s="20">
        <v>8</v>
      </c>
      <c r="J10" s="3">
        <v>4.8</v>
      </c>
      <c r="K10" s="3">
        <v>7.35</v>
      </c>
      <c r="L10" s="20">
        <v>8</v>
      </c>
      <c r="O10" s="20">
        <v>8</v>
      </c>
      <c r="P10" s="65"/>
      <c r="Q10" s="65"/>
      <c r="R10" s="65"/>
      <c r="S10" s="65"/>
      <c r="T10" s="65"/>
      <c r="U10" s="65"/>
      <c r="W10">
        <v>3</v>
      </c>
      <c r="X10">
        <v>0</v>
      </c>
      <c r="Y10">
        <v>174457</v>
      </c>
      <c r="Z10">
        <v>1916</v>
      </c>
    </row>
    <row r="11" spans="1:26" ht="14" customHeight="1">
      <c r="B11" s="20">
        <v>9</v>
      </c>
      <c r="C11" s="65">
        <v>2410.7317073307631</v>
      </c>
      <c r="D11">
        <v>55.4</v>
      </c>
      <c r="E11">
        <v>160</v>
      </c>
      <c r="F11" s="20">
        <v>9</v>
      </c>
      <c r="G11" s="65">
        <v>709.26829268695462</v>
      </c>
      <c r="H11" s="65">
        <v>7545.3658537013853</v>
      </c>
      <c r="I11" s="20">
        <v>9</v>
      </c>
      <c r="J11" s="3">
        <v>4.82</v>
      </c>
      <c r="K11" s="3">
        <v>7.51</v>
      </c>
      <c r="L11" s="20">
        <v>9</v>
      </c>
      <c r="O11" s="20">
        <v>9</v>
      </c>
      <c r="P11" s="65"/>
      <c r="Q11" s="65"/>
      <c r="R11" s="65"/>
      <c r="S11" s="65"/>
      <c r="T11" s="65"/>
      <c r="U11" s="65"/>
      <c r="W11" s="83">
        <v>4</v>
      </c>
      <c r="X11" s="83">
        <v>0</v>
      </c>
      <c r="Y11" s="83">
        <v>176957</v>
      </c>
      <c r="Z11" s="83">
        <v>1938</v>
      </c>
    </row>
    <row r="12" spans="1:26" ht="14" customHeight="1">
      <c r="B12" s="20">
        <v>10</v>
      </c>
      <c r="C12" s="65">
        <v>2105.4857142769602</v>
      </c>
      <c r="D12">
        <v>54.8</v>
      </c>
      <c r="E12">
        <v>180</v>
      </c>
      <c r="F12" s="20">
        <v>10</v>
      </c>
      <c r="G12" s="65">
        <v>622.28571428312705</v>
      </c>
      <c r="H12" s="65">
        <v>6993.2571428280671</v>
      </c>
      <c r="I12" s="20">
        <v>10</v>
      </c>
      <c r="J12" s="3">
        <v>4.8899999999999997</v>
      </c>
      <c r="K12" s="3">
        <v>7.46</v>
      </c>
      <c r="L12" s="20">
        <v>10</v>
      </c>
      <c r="N12" s="5">
        <f>AVERAGE(0.53,0.55,0.49)</f>
        <v>0.52333333333333332</v>
      </c>
      <c r="O12" s="20">
        <v>10</v>
      </c>
      <c r="P12" s="65">
        <f>AVERAGE([1]Alkalinity!$M$38:$M$40)</f>
        <v>2383.3333333333335</v>
      </c>
      <c r="Q12" s="65"/>
      <c r="R12" s="65">
        <f>AVERAGE([1]Alkalinity!$O$38:$O$40)</f>
        <v>1191.6666666666667</v>
      </c>
      <c r="S12" s="65">
        <f>AVERAGE([1]Alkalinity!$M$32:$M$34)</f>
        <v>5650</v>
      </c>
      <c r="T12" s="65">
        <f>AVERAGE([1]Alkalinity!$N$32:$N$34)</f>
        <v>3525</v>
      </c>
      <c r="U12" s="65">
        <f>AVERAGE([1]Alkalinity!$O$32:$O$34)</f>
        <v>1850</v>
      </c>
      <c r="W12" s="83">
        <v>5</v>
      </c>
      <c r="X12" s="83">
        <v>0</v>
      </c>
      <c r="Y12" s="83">
        <v>179057</v>
      </c>
      <c r="Z12" s="83">
        <v>1958</v>
      </c>
    </row>
    <row r="13" spans="1:26" ht="14" customHeight="1">
      <c r="B13" s="20">
        <v>11</v>
      </c>
      <c r="C13" s="65">
        <v>1607.6646706631655</v>
      </c>
      <c r="D13">
        <v>54.8</v>
      </c>
      <c r="E13">
        <v>145</v>
      </c>
      <c r="F13" s="20">
        <v>11</v>
      </c>
      <c r="G13" s="65">
        <v>675.4491017982906</v>
      </c>
      <c r="H13" s="65">
        <v>5937.2455089985915</v>
      </c>
      <c r="I13" s="20">
        <v>11</v>
      </c>
      <c r="L13" s="20">
        <v>11</v>
      </c>
      <c r="O13" s="20">
        <v>11</v>
      </c>
      <c r="P13" s="65"/>
      <c r="Q13" s="65"/>
      <c r="R13" s="65"/>
      <c r="S13" s="65"/>
      <c r="T13" s="65"/>
      <c r="U13" s="65"/>
      <c r="W13" s="83">
        <v>6</v>
      </c>
      <c r="X13" s="94">
        <v>8</v>
      </c>
      <c r="Y13" s="83">
        <v>180575</v>
      </c>
      <c r="Z13" s="83">
        <v>1976</v>
      </c>
    </row>
    <row r="14" spans="1:26" ht="14" customHeight="1">
      <c r="B14" s="20">
        <v>12</v>
      </c>
      <c r="C14" s="65">
        <v>1690.676982585785</v>
      </c>
      <c r="D14">
        <v>54.7</v>
      </c>
      <c r="E14">
        <v>160</v>
      </c>
      <c r="F14" s="20">
        <v>12</v>
      </c>
      <c r="G14" s="65">
        <v>640.61895551026453</v>
      </c>
      <c r="H14" s="65">
        <v>5957.7562862454597</v>
      </c>
      <c r="I14" s="20">
        <v>12</v>
      </c>
      <c r="L14" s="20">
        <v>12</v>
      </c>
      <c r="O14" s="20">
        <v>12</v>
      </c>
      <c r="P14" s="65"/>
      <c r="Q14" s="65"/>
      <c r="R14" s="65"/>
      <c r="S14" s="65"/>
      <c r="T14" s="65"/>
      <c r="U14" s="65"/>
      <c r="W14" s="83">
        <v>9</v>
      </c>
      <c r="X14" s="83">
        <v>0</v>
      </c>
      <c r="Y14" s="83">
        <v>182157</v>
      </c>
      <c r="Z14" s="83">
        <v>1995</v>
      </c>
    </row>
    <row r="15" spans="1:26" ht="14" customHeight="1">
      <c r="B15" s="20">
        <v>13</v>
      </c>
      <c r="C15" s="65">
        <v>1575.4624505986849</v>
      </c>
      <c r="D15">
        <v>54.1</v>
      </c>
      <c r="E15">
        <v>170</v>
      </c>
      <c r="F15" s="20">
        <v>13</v>
      </c>
      <c r="G15" s="65">
        <v>612.42687747261016</v>
      </c>
      <c r="H15" s="65">
        <v>5621.1225296649609</v>
      </c>
      <c r="I15" s="20">
        <v>13</v>
      </c>
      <c r="J15" s="3">
        <v>4.88</v>
      </c>
      <c r="K15" s="3">
        <v>7.33</v>
      </c>
      <c r="L15" s="20">
        <v>13</v>
      </c>
      <c r="N15" s="5">
        <f>AVERAGE(0.53,0.48,0.51)</f>
        <v>0.50666666666666671</v>
      </c>
      <c r="O15" s="20">
        <v>13</v>
      </c>
      <c r="P15" s="65">
        <f>AVERAGE([1]Alkalinity!$M$44:$M$46)</f>
        <v>2541.6666666666665</v>
      </c>
      <c r="Q15" s="65"/>
      <c r="R15" s="65">
        <f>AVERAGE([1]Alkalinity!$O$44:$O$46)</f>
        <v>1366.666666666667</v>
      </c>
      <c r="S15" s="65">
        <f>AVERAGE([1]Alkalinity!$M$41:$M$43)</f>
        <v>5558.333333333333</v>
      </c>
      <c r="T15" s="65">
        <f>AVERAGE([1]Alkalinity!$N$41:$N$43)</f>
        <v>3483.3333333333335</v>
      </c>
      <c r="U15" s="65">
        <f>AVERAGE([1]Alkalinity!$O$41:$O$43)</f>
        <v>1766.6666666666663</v>
      </c>
      <c r="W15" s="83">
        <v>9</v>
      </c>
      <c r="X15" s="83">
        <v>0</v>
      </c>
      <c r="Y15" s="83">
        <v>183957</v>
      </c>
      <c r="Z15" s="83">
        <v>2010</v>
      </c>
    </row>
    <row r="16" spans="1:26" ht="14" customHeight="1">
      <c r="B16" s="20">
        <v>14</v>
      </c>
      <c r="C16" s="65">
        <v>1532.3959044392955</v>
      </c>
      <c r="D16">
        <v>54.4</v>
      </c>
      <c r="E16">
        <v>170</v>
      </c>
      <c r="F16" s="20">
        <v>14</v>
      </c>
      <c r="G16" s="65">
        <v>622.19795221941888</v>
      </c>
      <c r="H16" s="65">
        <v>5582.088737210237</v>
      </c>
      <c r="I16" s="20">
        <v>14</v>
      </c>
      <c r="J16" s="3">
        <v>4.96</v>
      </c>
      <c r="K16" s="3">
        <v>7.39</v>
      </c>
      <c r="L16" s="20">
        <v>14</v>
      </c>
      <c r="O16" s="20">
        <v>14</v>
      </c>
      <c r="P16" s="65"/>
      <c r="Q16" s="65"/>
      <c r="R16" s="65"/>
      <c r="S16" s="65"/>
      <c r="T16" s="65"/>
      <c r="U16" s="65"/>
      <c r="W16" s="83">
        <v>6</v>
      </c>
      <c r="X16" s="83">
        <v>0</v>
      </c>
      <c r="Y16" s="83">
        <v>185557</v>
      </c>
      <c r="Z16" s="83">
        <v>2027</v>
      </c>
    </row>
    <row r="17" spans="1:26" ht="14" customHeight="1">
      <c r="B17" s="20">
        <v>15</v>
      </c>
      <c r="C17" s="65">
        <v>1499.2340425457646</v>
      </c>
      <c r="D17">
        <v>48.9</v>
      </c>
      <c r="E17">
        <v>180</v>
      </c>
      <c r="F17" s="20">
        <v>15</v>
      </c>
      <c r="G17" s="65">
        <v>695.48936169868227</v>
      </c>
      <c r="H17" s="65">
        <v>5544.5106382704053</v>
      </c>
      <c r="I17" s="20">
        <v>15</v>
      </c>
      <c r="J17" s="3">
        <v>5</v>
      </c>
      <c r="K17" s="3">
        <v>7.45</v>
      </c>
      <c r="L17" s="20">
        <v>15</v>
      </c>
      <c r="O17" s="20">
        <v>15</v>
      </c>
      <c r="P17" s="65"/>
      <c r="Q17" s="65"/>
      <c r="R17" s="65"/>
      <c r="S17" s="65"/>
      <c r="T17" s="65"/>
      <c r="U17" s="65"/>
      <c r="V17"/>
      <c r="W17" s="83">
        <v>6</v>
      </c>
      <c r="X17" s="83">
        <v>0</v>
      </c>
      <c r="Y17" s="83">
        <v>187057</v>
      </c>
      <c r="Z17" s="83">
        <v>2043</v>
      </c>
    </row>
    <row r="18" spans="1:26" ht="14" customHeight="1">
      <c r="B18" s="20">
        <v>16</v>
      </c>
      <c r="C18" s="65">
        <v>1446.2030769272212</v>
      </c>
      <c r="D18">
        <v>48.3</v>
      </c>
      <c r="E18">
        <v>185</v>
      </c>
      <c r="F18" s="20">
        <v>16</v>
      </c>
      <c r="G18" s="65">
        <v>731.07692307901812</v>
      </c>
      <c r="H18" s="65">
        <v>5150.3261538609131</v>
      </c>
      <c r="I18" s="20">
        <v>16</v>
      </c>
      <c r="J18" s="3">
        <v>5.0199999999999996</v>
      </c>
      <c r="K18" s="3">
        <v>7.35</v>
      </c>
      <c r="L18" s="20">
        <v>16</v>
      </c>
      <c r="O18" s="20">
        <v>16</v>
      </c>
      <c r="P18" s="65"/>
      <c r="Q18" s="65"/>
      <c r="R18" s="65"/>
      <c r="S18" s="65"/>
      <c r="T18" s="65"/>
      <c r="U18" s="65"/>
      <c r="V18"/>
      <c r="W18">
        <v>8</v>
      </c>
      <c r="X18">
        <v>0</v>
      </c>
      <c r="Y18">
        <v>188657</v>
      </c>
      <c r="Z18">
        <v>2060</v>
      </c>
    </row>
    <row r="19" spans="1:26" ht="14" customHeight="1">
      <c r="B19" s="20">
        <v>17</v>
      </c>
      <c r="C19" s="65">
        <v>1391.8087649350748</v>
      </c>
      <c r="D19">
        <v>54.7</v>
      </c>
      <c r="E19">
        <v>170</v>
      </c>
      <c r="F19" s="20">
        <v>17</v>
      </c>
      <c r="G19" s="65">
        <v>553.05179282663323</v>
      </c>
      <c r="H19" s="65">
        <v>5087.6175298616008</v>
      </c>
      <c r="I19" s="20">
        <v>17</v>
      </c>
      <c r="J19" s="3">
        <v>5.04</v>
      </c>
      <c r="K19" s="3">
        <v>7.34</v>
      </c>
      <c r="L19" s="20">
        <v>17</v>
      </c>
      <c r="N19" s="5">
        <f>AVERAGE(0.54,0.51,0.58)</f>
        <v>0.54333333333333333</v>
      </c>
      <c r="O19" s="20">
        <v>17</v>
      </c>
      <c r="P19" s="65">
        <f>AVERAGE([1]Alkalinity!$M$50:$M$52)</f>
        <v>2833.3333333333335</v>
      </c>
      <c r="Q19" s="65"/>
      <c r="R19" s="65">
        <f>AVERAGE([1]Alkalinity!$O$50:$O$52)</f>
        <v>1758.3333333333333</v>
      </c>
      <c r="S19" s="65">
        <f>AVERAGE([1]Alkalinity!$M$47:$M$49)</f>
        <v>5516.666666666667</v>
      </c>
      <c r="T19" s="65">
        <f>AVERAGE([1]Alkalinity!$N$47:$N$49)</f>
        <v>3383.3333333333335</v>
      </c>
      <c r="U19" s="65">
        <f>AVERAGE([1]Alkalinity!$O$47:$O$49)</f>
        <v>1841.6666666666667</v>
      </c>
      <c r="V19"/>
      <c r="W19">
        <v>7</v>
      </c>
      <c r="X19">
        <v>0</v>
      </c>
      <c r="Y19">
        <v>189957</v>
      </c>
      <c r="Z19">
        <v>2073</v>
      </c>
    </row>
    <row r="20" spans="1:26" ht="14" customHeight="1">
      <c r="B20" s="20">
        <v>18</v>
      </c>
      <c r="C20" s="65">
        <v>1443.9183673537996</v>
      </c>
      <c r="D20">
        <v>48.5</v>
      </c>
      <c r="E20">
        <v>180</v>
      </c>
      <c r="F20" s="20">
        <v>18</v>
      </c>
      <c r="G20" s="65">
        <v>709.22448979928834</v>
      </c>
      <c r="H20" s="65">
        <v>4810.7755102269402</v>
      </c>
      <c r="I20" s="20">
        <v>18</v>
      </c>
      <c r="J20" s="3">
        <v>5.1100000000000003</v>
      </c>
      <c r="K20" s="3">
        <v>7.36</v>
      </c>
      <c r="L20" s="20">
        <v>18</v>
      </c>
      <c r="O20" s="20">
        <v>18</v>
      </c>
      <c r="P20" s="65"/>
      <c r="Q20" s="65"/>
      <c r="R20" s="65"/>
      <c r="S20" s="65"/>
      <c r="T20" s="65"/>
      <c r="U20" s="65"/>
      <c r="V20"/>
      <c r="W20">
        <v>7</v>
      </c>
      <c r="X20">
        <v>0</v>
      </c>
      <c r="Y20">
        <v>191475</v>
      </c>
      <c r="Z20">
        <v>2087</v>
      </c>
    </row>
    <row r="21" spans="1:26" ht="14" customHeight="1">
      <c r="B21" s="20">
        <v>19</v>
      </c>
      <c r="C21" s="65">
        <v>1392</v>
      </c>
      <c r="D21">
        <v>48.4</v>
      </c>
      <c r="E21">
        <v>155</v>
      </c>
      <c r="F21" s="20">
        <v>19</v>
      </c>
      <c r="G21" s="65">
        <v>613</v>
      </c>
      <c r="H21" s="65">
        <v>4825</v>
      </c>
      <c r="I21" s="20">
        <v>19</v>
      </c>
      <c r="J21" s="3">
        <v>5.14</v>
      </c>
      <c r="K21" s="3">
        <v>7.36</v>
      </c>
      <c r="L21" s="20">
        <v>19</v>
      </c>
      <c r="O21" s="20">
        <v>19</v>
      </c>
      <c r="P21" s="65"/>
      <c r="Q21" s="65"/>
      <c r="R21" s="65"/>
      <c r="S21" s="65"/>
      <c r="T21" s="65"/>
      <c r="U21" s="65"/>
      <c r="V21"/>
      <c r="W21">
        <v>8</v>
      </c>
      <c r="X21">
        <v>0</v>
      </c>
      <c r="Y21">
        <v>192857</v>
      </c>
      <c r="Z21">
        <v>2102</v>
      </c>
    </row>
    <row r="22" spans="1:26" ht="14" customHeight="1">
      <c r="B22" s="20">
        <v>20</v>
      </c>
      <c r="C22" s="65">
        <v>1205.3706293716107</v>
      </c>
      <c r="D22"/>
      <c r="E22"/>
      <c r="F22" s="20">
        <v>20</v>
      </c>
      <c r="G22" s="65">
        <v>664.61538461592568</v>
      </c>
      <c r="H22" s="65">
        <v>4391.4965035000787</v>
      </c>
      <c r="I22" s="20">
        <v>20</v>
      </c>
      <c r="J22" s="3">
        <v>5.18</v>
      </c>
      <c r="K22" s="3">
        <v>7.39</v>
      </c>
      <c r="L22" s="20">
        <v>20</v>
      </c>
      <c r="O22" s="20">
        <v>20</v>
      </c>
      <c r="P22" s="65"/>
      <c r="Q22" s="65"/>
      <c r="R22" s="65"/>
      <c r="S22" s="65"/>
      <c r="T22" s="65"/>
      <c r="U22" s="65"/>
      <c r="V22"/>
      <c r="W22">
        <v>8</v>
      </c>
      <c r="X22">
        <v>0</v>
      </c>
      <c r="Y22">
        <v>194057</v>
      </c>
      <c r="Z22">
        <v>2115</v>
      </c>
    </row>
    <row r="23" spans="1:26" ht="14" customHeight="1">
      <c r="B23" s="20">
        <v>21</v>
      </c>
      <c r="C23" s="65">
        <v>1262.3832752572275</v>
      </c>
      <c r="D23">
        <v>47.2</v>
      </c>
      <c r="E23">
        <v>155</v>
      </c>
      <c r="F23" s="20">
        <v>21</v>
      </c>
      <c r="G23" s="65">
        <v>598.07665505032401</v>
      </c>
      <c r="H23" s="65">
        <v>4033.00348430747</v>
      </c>
      <c r="I23" s="20">
        <v>21</v>
      </c>
      <c r="J23" s="3">
        <v>5.08</v>
      </c>
      <c r="K23" s="3">
        <v>7.54</v>
      </c>
      <c r="L23" s="20">
        <v>21</v>
      </c>
      <c r="N23" s="5">
        <f>AVERAGE(0.65,0.62,0.61)</f>
        <v>0.62666666666666659</v>
      </c>
      <c r="O23" s="20">
        <v>21</v>
      </c>
      <c r="P23" s="65">
        <f>AVERAGE([1]Alkalinity!$M$59:$M$61)</f>
        <v>2783.3333333333335</v>
      </c>
      <c r="Q23" s="65"/>
      <c r="R23" s="65">
        <f>AVERAGE([1]Alkalinity!$O$59:$O$61)</f>
        <v>1716.6666666666667</v>
      </c>
      <c r="S23" s="65">
        <f>AVERAGE([1]Alkalinity!$M$62:$M$64)</f>
        <v>6541.666666666667</v>
      </c>
      <c r="T23" s="65">
        <f>AVERAGE([1]Alkalinity!$N$62:$N$64)</f>
        <v>3750</v>
      </c>
      <c r="U23" s="65">
        <f>AVERAGE([1]Alkalinity!$O$62:$O$64)</f>
        <v>2358.3333333333335</v>
      </c>
      <c r="V23"/>
      <c r="W23">
        <v>8</v>
      </c>
      <c r="X23" s="94">
        <v>2</v>
      </c>
      <c r="Y23">
        <v>195357</v>
      </c>
      <c r="Z23">
        <v>2127</v>
      </c>
    </row>
    <row r="24" spans="1:26" ht="14" customHeight="1">
      <c r="B24" s="20">
        <v>22</v>
      </c>
      <c r="C24" s="65">
        <v>1680.8191126306574</v>
      </c>
      <c r="D24">
        <v>46.5</v>
      </c>
      <c r="E24">
        <v>95</v>
      </c>
      <c r="F24" s="20">
        <v>22</v>
      </c>
      <c r="G24" s="65">
        <v>580.91467576884133</v>
      </c>
      <c r="H24" s="65">
        <v>3681.0921501764988</v>
      </c>
      <c r="I24" s="20">
        <v>22</v>
      </c>
      <c r="J24" s="3">
        <v>5.15</v>
      </c>
      <c r="K24" s="3">
        <v>7.5</v>
      </c>
      <c r="L24" s="20">
        <v>22</v>
      </c>
      <c r="O24" s="20">
        <v>22</v>
      </c>
      <c r="P24" s="65"/>
      <c r="Q24" s="65"/>
      <c r="R24" s="65"/>
      <c r="S24" s="65"/>
      <c r="T24" s="65"/>
      <c r="U24" s="65"/>
      <c r="V24"/>
      <c r="W24">
        <v>9</v>
      </c>
      <c r="X24" s="94">
        <v>1</v>
      </c>
      <c r="Y24">
        <v>197057</v>
      </c>
      <c r="Z24">
        <v>2138</v>
      </c>
    </row>
    <row r="25" spans="1:26" ht="14" customHeight="1">
      <c r="B25" s="20">
        <v>23</v>
      </c>
      <c r="C25" s="65">
        <v>1738.1408450732724</v>
      </c>
      <c r="D25">
        <v>47.4</v>
      </c>
      <c r="E25">
        <v>140</v>
      </c>
      <c r="F25" s="20">
        <v>23</v>
      </c>
      <c r="G25" s="65">
        <v>733.18309859275143</v>
      </c>
      <c r="H25" s="65">
        <v>3991.4366197248546</v>
      </c>
      <c r="I25" s="20">
        <v>23</v>
      </c>
      <c r="J25" s="3">
        <v>5.08</v>
      </c>
      <c r="K25" s="3">
        <v>7.43</v>
      </c>
      <c r="L25" s="20">
        <v>23</v>
      </c>
      <c r="O25" s="20">
        <v>23</v>
      </c>
      <c r="P25" s="65"/>
      <c r="Q25" s="65"/>
      <c r="R25" s="65"/>
      <c r="S25" s="65"/>
      <c r="T25" s="65"/>
      <c r="U25" s="65"/>
      <c r="V25"/>
      <c r="W25">
        <v>9</v>
      </c>
      <c r="X25">
        <v>0</v>
      </c>
      <c r="Y25">
        <v>198557</v>
      </c>
      <c r="Z25">
        <v>2150</v>
      </c>
    </row>
    <row r="26" spans="1:26" ht="14" customHeight="1">
      <c r="B26" s="20">
        <v>24</v>
      </c>
      <c r="C26" s="65">
        <v>1438.9965156747728</v>
      </c>
      <c r="D26">
        <v>51.1</v>
      </c>
      <c r="E26">
        <v>130</v>
      </c>
      <c r="F26" s="20">
        <v>24</v>
      </c>
      <c r="G26" s="65">
        <v>710.46689895239831</v>
      </c>
      <c r="H26" s="65">
        <v>3893.5191637504313</v>
      </c>
      <c r="I26" s="20">
        <v>24</v>
      </c>
      <c r="J26" s="3">
        <v>5.03</v>
      </c>
      <c r="K26" s="3">
        <v>7.35</v>
      </c>
      <c r="L26" s="20">
        <v>24</v>
      </c>
      <c r="N26" s="5">
        <f>AVERAGE(0.54,0.52,0.52)</f>
        <v>0.52666666666666673</v>
      </c>
      <c r="O26" s="20">
        <v>24</v>
      </c>
      <c r="P26" s="65">
        <f>AVERAGE([1]Alkalinity!$M$56:$M$58)</f>
        <v>2408.3333333333335</v>
      </c>
      <c r="Q26" s="65"/>
      <c r="R26" s="65">
        <f>AVERAGE([1]Alkalinity!$O$56:$O$58)</f>
        <v>1441.666666666667</v>
      </c>
      <c r="S26" s="65">
        <f>AVERAGE([1]Alkalinity!$M$53:$M$55)</f>
        <v>5550</v>
      </c>
      <c r="T26" s="65">
        <f>AVERAGE([1]Alkalinity!$N$53:$N$55)</f>
        <v>3433.3333333333335</v>
      </c>
      <c r="U26" s="65">
        <f>AVERAGE([1]Alkalinity!$O$53:$O$55)</f>
        <v>1808.3333333333333</v>
      </c>
      <c r="V26"/>
      <c r="W26">
        <v>8</v>
      </c>
      <c r="X26" s="94">
        <v>4</v>
      </c>
      <c r="Y26">
        <v>200257</v>
      </c>
      <c r="Z26">
        <v>2162</v>
      </c>
    </row>
    <row r="27" spans="1:26" ht="14" customHeight="1">
      <c r="B27" s="20">
        <v>25</v>
      </c>
      <c r="C27" s="65">
        <v>1314.3092783536702</v>
      </c>
      <c r="D27">
        <v>46.9</v>
      </c>
      <c r="E27">
        <v>75</v>
      </c>
      <c r="F27" s="20">
        <v>25</v>
      </c>
      <c r="G27" s="65">
        <v>711.5876288676875</v>
      </c>
      <c r="H27" s="65">
        <v>4049.8144329994116</v>
      </c>
      <c r="I27" s="20">
        <v>25</v>
      </c>
      <c r="J27" s="3">
        <v>5.0199999999999996</v>
      </c>
      <c r="K27" s="3">
        <v>7.37</v>
      </c>
      <c r="L27" s="20">
        <v>25</v>
      </c>
      <c r="O27" s="20">
        <v>25</v>
      </c>
      <c r="P27" s="65"/>
      <c r="Q27" s="65"/>
      <c r="R27" s="65"/>
      <c r="S27" s="65"/>
      <c r="T27" s="65"/>
      <c r="U27" s="65"/>
      <c r="V27"/>
      <c r="W27">
        <v>9</v>
      </c>
      <c r="X27" s="94">
        <v>4</v>
      </c>
      <c r="Y27">
        <v>201557</v>
      </c>
      <c r="Z27">
        <v>2174</v>
      </c>
    </row>
    <row r="28" spans="1:26" ht="14" customHeight="1">
      <c r="B28" s="20">
        <v>26</v>
      </c>
      <c r="C28" s="65">
        <v>1300.9655172403347</v>
      </c>
      <c r="D28">
        <v>49</v>
      </c>
      <c r="E28">
        <v>50</v>
      </c>
      <c r="F28" s="20">
        <v>26</v>
      </c>
      <c r="G28" s="65">
        <v>649.48965517189231</v>
      </c>
      <c r="H28" s="65">
        <v>4067.751724134665</v>
      </c>
      <c r="I28" s="20">
        <v>26</v>
      </c>
      <c r="J28" s="3">
        <v>5.04</v>
      </c>
      <c r="K28" s="3">
        <v>7.3</v>
      </c>
      <c r="L28" s="20">
        <v>26</v>
      </c>
      <c r="O28" s="20">
        <v>26</v>
      </c>
      <c r="P28" s="65"/>
      <c r="Q28" s="65"/>
      <c r="R28" s="65"/>
      <c r="S28" s="65"/>
      <c r="T28" s="65"/>
      <c r="U28" s="65"/>
      <c r="V28"/>
      <c r="W28">
        <v>9</v>
      </c>
      <c r="X28" s="94">
        <v>6</v>
      </c>
      <c r="Y28">
        <v>202957</v>
      </c>
      <c r="Z28">
        <v>2186</v>
      </c>
    </row>
    <row r="29" spans="1:26" ht="14" customHeight="1">
      <c r="B29" s="20">
        <v>27</v>
      </c>
      <c r="C29" s="65">
        <v>1307.6210526283742</v>
      </c>
      <c r="D29">
        <v>48.5</v>
      </c>
      <c r="E29">
        <v>110</v>
      </c>
      <c r="F29" s="20">
        <v>27</v>
      </c>
      <c r="G29" s="65">
        <v>588.12631578803234</v>
      </c>
      <c r="H29" s="65">
        <v>3624.757894727958</v>
      </c>
      <c r="I29" s="20">
        <v>27</v>
      </c>
      <c r="J29" s="3">
        <v>5.18</v>
      </c>
      <c r="K29" s="3">
        <v>7.32</v>
      </c>
      <c r="L29" s="20">
        <v>27</v>
      </c>
      <c r="O29" s="20">
        <v>27</v>
      </c>
      <c r="P29" s="65"/>
      <c r="Q29" s="65"/>
      <c r="R29" s="65"/>
      <c r="S29" s="65"/>
      <c r="T29" s="65"/>
      <c r="U29" s="65"/>
      <c r="V29"/>
      <c r="W29">
        <v>8</v>
      </c>
      <c r="X29" s="94">
        <v>1</v>
      </c>
      <c r="Y29">
        <v>204257</v>
      </c>
      <c r="Z29">
        <v>2197</v>
      </c>
    </row>
    <row r="30" spans="1:26" ht="14" customHeight="1">
      <c r="A30" t="s">
        <v>96</v>
      </c>
      <c r="B30" s="20">
        <v>28</v>
      </c>
      <c r="C30" s="65">
        <v>1353.0947368387892</v>
      </c>
      <c r="D30">
        <v>49</v>
      </c>
      <c r="E30">
        <v>100</v>
      </c>
      <c r="F30" s="20">
        <v>28</v>
      </c>
      <c r="G30" s="65">
        <v>731.62105262978594</v>
      </c>
      <c r="H30" s="65">
        <v>3889.5157894641516</v>
      </c>
      <c r="I30" s="20">
        <v>28</v>
      </c>
      <c r="J30" s="3">
        <v>5.22</v>
      </c>
      <c r="K30" s="3">
        <v>7.23</v>
      </c>
      <c r="L30" s="20">
        <v>28</v>
      </c>
      <c r="O30" s="20">
        <v>28</v>
      </c>
      <c r="P30" s="65"/>
      <c r="Q30" s="65"/>
      <c r="R30" s="65"/>
      <c r="S30" s="65"/>
      <c r="T30" s="65"/>
      <c r="U30" s="65"/>
      <c r="V30"/>
      <c r="W30" s="83">
        <v>9</v>
      </c>
      <c r="X30" s="83">
        <v>0</v>
      </c>
      <c r="Y30" s="83">
        <v>205557</v>
      </c>
      <c r="Z30" s="83">
        <v>2209</v>
      </c>
    </row>
    <row r="31" spans="1:26">
      <c r="B31" s="20">
        <v>29</v>
      </c>
      <c r="C31" s="65">
        <v>1691.5068493245099</v>
      </c>
      <c r="D31">
        <v>48.8</v>
      </c>
      <c r="E31">
        <v>120</v>
      </c>
      <c r="F31" s="20">
        <v>29</v>
      </c>
      <c r="G31" s="65">
        <v>725.91780822322983</v>
      </c>
      <c r="H31" s="65">
        <v>4395.9452055039883</v>
      </c>
      <c r="I31" s="20">
        <v>29</v>
      </c>
      <c r="J31" s="3">
        <v>5.18</v>
      </c>
      <c r="K31" s="3">
        <v>7.19</v>
      </c>
      <c r="L31" s="20">
        <v>29</v>
      </c>
      <c r="O31" s="20">
        <v>29</v>
      </c>
      <c r="P31" s="65"/>
      <c r="Q31" s="65"/>
      <c r="R31" s="65"/>
      <c r="S31" s="65"/>
      <c r="T31" s="65"/>
      <c r="U31" s="65"/>
      <c r="V31"/>
      <c r="W31">
        <v>8</v>
      </c>
      <c r="X31">
        <v>0</v>
      </c>
      <c r="Y31">
        <v>207357</v>
      </c>
      <c r="Z31">
        <v>2222</v>
      </c>
    </row>
    <row r="32" spans="1:26">
      <c r="B32" s="20">
        <v>30</v>
      </c>
      <c r="C32" s="65">
        <v>1557.2210526277622</v>
      </c>
      <c r="D32">
        <v>48.1</v>
      </c>
      <c r="E32">
        <v>120</v>
      </c>
      <c r="F32" s="20">
        <v>30</v>
      </c>
      <c r="G32" s="65">
        <v>600.25263157747622</v>
      </c>
      <c r="H32" s="65">
        <v>4244.2105263053872</v>
      </c>
      <c r="I32" s="20">
        <v>30</v>
      </c>
      <c r="J32" s="3">
        <v>5.08</v>
      </c>
      <c r="K32" s="3">
        <v>7.22</v>
      </c>
      <c r="L32" s="20">
        <v>30</v>
      </c>
      <c r="O32" s="20">
        <v>30</v>
      </c>
      <c r="P32" s="65"/>
      <c r="Q32" s="65"/>
      <c r="R32" s="65"/>
      <c r="S32" s="65"/>
      <c r="T32" s="65"/>
      <c r="U32" s="65"/>
      <c r="V32"/>
      <c r="W32">
        <v>9</v>
      </c>
      <c r="X32">
        <v>0</v>
      </c>
      <c r="Y32">
        <v>208857</v>
      </c>
      <c r="Z32">
        <v>2235</v>
      </c>
    </row>
    <row r="33" spans="2:26">
      <c r="C33" s="65"/>
      <c r="D33"/>
      <c r="E33"/>
      <c r="F33" s="17"/>
      <c r="L33" s="20"/>
      <c r="O33" s="17"/>
    </row>
    <row r="34" spans="2:26" s="7" customFormat="1">
      <c r="B34" s="7" t="s">
        <v>22</v>
      </c>
      <c r="C34" s="67">
        <f>AVERAGE(C3:C33)</f>
        <v>1771.6723527077945</v>
      </c>
      <c r="D34" s="13">
        <f>AVERAGE(D3:D33)</f>
        <v>51.43333333333333</v>
      </c>
      <c r="E34" s="75">
        <f>AVERAGE(E3:E33)</f>
        <v>137.03703703703704</v>
      </c>
      <c r="F34" s="18" t="s">
        <v>22</v>
      </c>
      <c r="G34" s="67">
        <f>AVERAGE(G3:G33)</f>
        <v>657.95168622737617</v>
      </c>
      <c r="H34" s="67">
        <f>AVERAGE(H3:H33)</f>
        <v>5508.4039446105298</v>
      </c>
      <c r="I34" s="8"/>
      <c r="J34" s="14">
        <f>AVERAGE(J3:J33)</f>
        <v>5.014800000000001</v>
      </c>
      <c r="K34" s="14">
        <f>AVERAGE(K3:K33)</f>
        <v>7.4095999999999993</v>
      </c>
      <c r="L34" s="21"/>
      <c r="M34" s="76"/>
      <c r="N34" s="15">
        <f>AVERAGE(N3:N30)</f>
        <v>0.53500000000000003</v>
      </c>
      <c r="O34" s="18" t="s">
        <v>22</v>
      </c>
      <c r="P34" s="78">
        <f>AVERAGE(P3:P30)</f>
        <v>2591.666666666667</v>
      </c>
      <c r="Q34" s="78" t="s">
        <v>0</v>
      </c>
      <c r="R34" s="78">
        <f>AVERAGE(R3:R30)</f>
        <v>1495.8333333333333</v>
      </c>
      <c r="S34" s="78">
        <f>AVERAGE(S3:S30)</f>
        <v>5784.7222222222226</v>
      </c>
      <c r="T34" s="78">
        <f>AVERAGE(T3:T30)</f>
        <v>3558.3333333333335</v>
      </c>
      <c r="U34" s="78">
        <f>AVERAGE(U3:U30)</f>
        <v>1908.3333333333333</v>
      </c>
      <c r="V34" s="16"/>
      <c r="W34"/>
      <c r="X34"/>
      <c r="Y34"/>
      <c r="Z34"/>
    </row>
    <row r="35" spans="2:26" s="7" customFormat="1">
      <c r="B35" s="7" t="s">
        <v>23</v>
      </c>
      <c r="C35" s="67">
        <f>STDEV(C3:C33)</f>
        <v>520.04338025034554</v>
      </c>
      <c r="D35" s="13">
        <f>STDEV(D3:D33)</f>
        <v>4.2844082258993312</v>
      </c>
      <c r="E35" s="75">
        <f>STDEV(E3:E33)</f>
        <v>35.226171958973794</v>
      </c>
      <c r="F35" s="18" t="s">
        <v>23</v>
      </c>
      <c r="G35" s="67">
        <f>STDEV(G3:G33)</f>
        <v>56.546719691066656</v>
      </c>
      <c r="H35" s="67">
        <f>STDEV(H3:H33)</f>
        <v>1566.8336560574767</v>
      </c>
      <c r="I35" s="8"/>
      <c r="J35" s="14">
        <f>STDEV(J3:J33)</f>
        <v>0.12926458653990786</v>
      </c>
      <c r="K35" s="14">
        <f>STDEV(K3:K33)</f>
        <v>0.15037397824535115</v>
      </c>
      <c r="L35" s="21"/>
      <c r="M35" s="76"/>
      <c r="N35" s="15">
        <f>STDEV(N3:N30)</f>
        <v>4.9295030175464917E-2</v>
      </c>
      <c r="O35" s="18" t="s">
        <v>23</v>
      </c>
      <c r="P35" s="78">
        <f>STDEV(P3:P30)</f>
        <v>186.93433190413273</v>
      </c>
      <c r="Q35" s="78" t="s">
        <v>0</v>
      </c>
      <c r="R35" s="78">
        <f>STDEV(R3:R30)</f>
        <v>214.39514401631945</v>
      </c>
      <c r="S35" s="78">
        <f>STDEV(S3:S30)</f>
        <v>395.15878196360899</v>
      </c>
      <c r="T35" s="78">
        <f>STDEV(T3:T30)</f>
        <v>165.32795690182988</v>
      </c>
      <c r="U35" s="78">
        <f>STDEV(U3:U30)</f>
        <v>222.42351993937689</v>
      </c>
      <c r="V35" s="16"/>
      <c r="W35"/>
      <c r="X35"/>
      <c r="Y35"/>
      <c r="Z35"/>
    </row>
    <row r="36" spans="2:26">
      <c r="W36" s="7"/>
      <c r="X36" s="7"/>
      <c r="Y36" s="7"/>
      <c r="Z36" s="7"/>
    </row>
    <row r="37" spans="2:26">
      <c r="W37" s="7"/>
      <c r="X37" s="7"/>
      <c r="Y37" s="7"/>
      <c r="Z37" s="7"/>
    </row>
  </sheetData>
  <pageMargins left="0.75" right="0.75" top="1" bottom="1" header="0.5" footer="0.5"/>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workbookViewId="0">
      <pane xSplit="2" ySplit="2" topLeftCell="C3" activePane="bottomRight" state="frozen"/>
      <selection pane="topRight" activeCell="C1" sqref="C1"/>
      <selection pane="bottomLeft" activeCell="A3" sqref="A3"/>
      <selection pane="bottomRight" activeCell="W32" sqref="W32"/>
    </sheetView>
  </sheetViews>
  <sheetFormatPr baseColWidth="10" defaultRowHeight="15" x14ac:dyDescent="0"/>
  <cols>
    <col min="1" max="1" width="11.6640625" customWidth="1"/>
    <col min="2" max="2" width="6.33203125" customWidth="1"/>
    <col min="3" max="3" width="10.83203125" style="35"/>
    <col min="4" max="5" width="10.83203125" style="36"/>
    <col min="6" max="6" width="4.6640625" style="2" customWidth="1"/>
    <col min="7" max="8" width="10.83203125" style="39"/>
    <col min="9" max="9" width="10.6640625" style="40" customWidth="1"/>
    <col min="10" max="10" width="8" style="40" customWidth="1"/>
    <col min="11" max="11" width="4.6640625" style="22" customWidth="1"/>
    <col min="12" max="12" width="10.83203125" style="42"/>
    <col min="13" max="13" width="10.83203125" style="43"/>
    <col min="14" max="14" width="5.1640625" customWidth="1"/>
    <col min="15" max="17" width="10.83203125" style="48"/>
    <col min="18" max="20" width="8.6640625" style="48" customWidth="1"/>
    <col min="21" max="21" width="4.6640625" style="6" customWidth="1"/>
    <col min="22" max="23" width="9.83203125" customWidth="1"/>
  </cols>
  <sheetData>
    <row r="1" spans="1:25" s="9" customFormat="1" ht="18">
      <c r="A1" s="9" t="s">
        <v>26</v>
      </c>
      <c r="C1" s="33"/>
      <c r="D1" s="34"/>
      <c r="E1" s="34"/>
      <c r="F1" s="12"/>
      <c r="G1" s="37"/>
      <c r="H1" s="37"/>
      <c r="I1" s="38"/>
      <c r="J1" s="38"/>
      <c r="K1" s="19"/>
      <c r="L1" s="41"/>
      <c r="M1" s="44"/>
      <c r="O1" s="46"/>
      <c r="P1" s="46"/>
      <c r="Q1" s="46"/>
      <c r="R1" s="46"/>
      <c r="S1" s="46"/>
      <c r="T1" s="46"/>
      <c r="U1" s="11"/>
    </row>
    <row r="2" spans="1:25" s="23" customFormat="1" ht="75">
      <c r="A2" s="23" t="s">
        <v>95</v>
      </c>
      <c r="B2" s="24" t="s">
        <v>27</v>
      </c>
      <c r="C2" s="82" t="s">
        <v>2</v>
      </c>
      <c r="D2" s="50" t="s">
        <v>9</v>
      </c>
      <c r="E2" s="50" t="s">
        <v>10</v>
      </c>
      <c r="F2" s="30" t="s">
        <v>24</v>
      </c>
      <c r="G2" s="51" t="s">
        <v>3</v>
      </c>
      <c r="H2" s="51" t="s">
        <v>4</v>
      </c>
      <c r="I2" s="52" t="s">
        <v>1</v>
      </c>
      <c r="J2" s="53" t="s">
        <v>11</v>
      </c>
      <c r="K2" s="54" t="s">
        <v>24</v>
      </c>
      <c r="L2" s="55" t="s">
        <v>13</v>
      </c>
      <c r="M2" s="56" t="s">
        <v>14</v>
      </c>
      <c r="N2" s="30" t="s">
        <v>24</v>
      </c>
      <c r="O2" s="47" t="s">
        <v>15</v>
      </c>
      <c r="P2" s="47" t="s">
        <v>16</v>
      </c>
      <c r="Q2" s="47" t="s">
        <v>17</v>
      </c>
      <c r="R2" s="47" t="s">
        <v>18</v>
      </c>
      <c r="S2" s="47" t="s">
        <v>19</v>
      </c>
      <c r="T2" s="47" t="s">
        <v>20</v>
      </c>
      <c r="U2" s="32"/>
      <c r="V2" s="23" t="s">
        <v>5</v>
      </c>
      <c r="W2" s="23" t="s">
        <v>6</v>
      </c>
      <c r="X2" s="23" t="s">
        <v>7</v>
      </c>
      <c r="Y2" s="23" t="s">
        <v>8</v>
      </c>
    </row>
    <row r="3" spans="1:25" ht="14" customHeight="1">
      <c r="A3" t="s">
        <v>94</v>
      </c>
      <c r="B3" s="20">
        <v>1</v>
      </c>
      <c r="C3" s="65">
        <v>1691.5716969334733</v>
      </c>
      <c r="D3" s="2">
        <v>60.3</v>
      </c>
      <c r="E3" s="1">
        <v>222</v>
      </c>
      <c r="F3" s="20">
        <v>1</v>
      </c>
      <c r="G3" s="65">
        <v>694.30181590553013</v>
      </c>
      <c r="H3" s="65">
        <v>4035.967438952146</v>
      </c>
      <c r="I3" s="3">
        <v>5.0199999999999996</v>
      </c>
      <c r="J3" s="1">
        <v>7.22</v>
      </c>
      <c r="K3" s="20">
        <v>1</v>
      </c>
      <c r="L3"/>
      <c r="M3" s="45">
        <f>AVERAGE(0.36,0.42,0.47)</f>
        <v>0.41666666666666669</v>
      </c>
      <c r="N3" s="20">
        <v>1</v>
      </c>
      <c r="O3" s="48">
        <f>AVERAGE(1950,1750,2055)</f>
        <v>1918.3333333333333</v>
      </c>
      <c r="Q3" s="48">
        <f>AVERAGE(1108,925,1188)</f>
        <v>1073.6666666666667</v>
      </c>
      <c r="R3" s="48">
        <f>AVERAGE(6175,6295,6330)</f>
        <v>6266.666666666667</v>
      </c>
      <c r="S3" s="48">
        <f>AVERAGE(4455,4150,4055)</f>
        <v>4220</v>
      </c>
      <c r="T3" s="48">
        <f>AVERAGE(1595,1738,1895)</f>
        <v>1742.6666666666667</v>
      </c>
      <c r="V3" s="84">
        <v>9</v>
      </c>
      <c r="W3" s="84">
        <v>0</v>
      </c>
      <c r="X3" s="85">
        <v>210757</v>
      </c>
      <c r="Y3" s="84">
        <v>2248</v>
      </c>
    </row>
    <row r="4" spans="1:25" ht="14" customHeight="1">
      <c r="A4" t="s">
        <v>93</v>
      </c>
      <c r="B4" s="20">
        <v>2</v>
      </c>
      <c r="C4" s="65">
        <v>1939.020172913265</v>
      </c>
      <c r="D4" s="2"/>
      <c r="E4" s="1">
        <v>174</v>
      </c>
      <c r="F4" s="20">
        <v>2</v>
      </c>
      <c r="G4" s="65">
        <v>641.15273775302182</v>
      </c>
      <c r="H4" s="65">
        <v>4885.4178674417144</v>
      </c>
      <c r="I4" s="3">
        <v>5.0599999999999996</v>
      </c>
      <c r="J4" s="1">
        <v>7.22</v>
      </c>
      <c r="K4" s="20">
        <v>2</v>
      </c>
      <c r="L4"/>
      <c r="M4"/>
      <c r="N4" s="20">
        <v>2</v>
      </c>
      <c r="V4" s="84">
        <v>9</v>
      </c>
      <c r="W4" s="84">
        <v>0</v>
      </c>
      <c r="X4" s="85">
        <v>212657</v>
      </c>
      <c r="Y4" s="84">
        <v>2262</v>
      </c>
    </row>
    <row r="5" spans="1:25" ht="14" customHeight="1">
      <c r="A5" t="s">
        <v>93</v>
      </c>
      <c r="B5" s="20">
        <v>3</v>
      </c>
      <c r="C5" s="65">
        <v>1746.7826086912314</v>
      </c>
      <c r="D5" s="2"/>
      <c r="E5" s="1">
        <v>266</v>
      </c>
      <c r="F5" s="20">
        <v>3</v>
      </c>
      <c r="G5" s="65">
        <v>590.60869565067924</v>
      </c>
      <c r="H5" s="65">
        <v>5017.0434782481725</v>
      </c>
      <c r="I5" s="3">
        <v>5.04</v>
      </c>
      <c r="J5" s="1">
        <v>7.22</v>
      </c>
      <c r="K5" s="20">
        <v>3</v>
      </c>
      <c r="L5"/>
      <c r="M5"/>
      <c r="N5" s="20">
        <v>3</v>
      </c>
      <c r="V5" s="84">
        <v>8</v>
      </c>
      <c r="W5" s="84">
        <v>0</v>
      </c>
      <c r="X5" s="85">
        <v>214357</v>
      </c>
      <c r="Y5" s="84">
        <v>2275</v>
      </c>
    </row>
    <row r="6" spans="1:25" ht="14" customHeight="1">
      <c r="B6" s="20">
        <v>4</v>
      </c>
      <c r="C6" s="65"/>
      <c r="D6" s="2"/>
      <c r="E6" s="1"/>
      <c r="F6" s="20">
        <v>4</v>
      </c>
      <c r="G6" s="65"/>
      <c r="H6" s="65"/>
      <c r="I6" s="3"/>
      <c r="J6" s="1"/>
      <c r="K6" s="20">
        <v>4</v>
      </c>
      <c r="L6"/>
      <c r="M6"/>
      <c r="N6" s="20">
        <v>4</v>
      </c>
      <c r="V6" s="84"/>
      <c r="W6" s="84"/>
      <c r="X6" s="85"/>
      <c r="Y6" s="84"/>
    </row>
    <row r="7" spans="1:25" ht="14" customHeight="1">
      <c r="B7" s="20">
        <v>5</v>
      </c>
      <c r="C7" s="65"/>
      <c r="D7" s="2"/>
      <c r="E7" s="1"/>
      <c r="F7" s="20">
        <v>5</v>
      </c>
      <c r="G7" s="65"/>
      <c r="H7" s="65"/>
      <c r="I7" s="3"/>
      <c r="J7" s="1"/>
      <c r="K7" s="20">
        <v>5</v>
      </c>
      <c r="L7"/>
      <c r="M7"/>
      <c r="N7" s="20">
        <v>5</v>
      </c>
      <c r="V7" s="84"/>
      <c r="W7" s="84"/>
      <c r="X7" s="85"/>
      <c r="Y7" s="84"/>
    </row>
    <row r="8" spans="1:25" ht="14" customHeight="1">
      <c r="B8" s="20">
        <v>6</v>
      </c>
      <c r="C8" s="65">
        <v>1624.7610208821093</v>
      </c>
      <c r="D8" s="2">
        <v>62.3</v>
      </c>
      <c r="E8" s="1">
        <v>194</v>
      </c>
      <c r="F8" s="20">
        <v>6</v>
      </c>
      <c r="G8" s="65">
        <v>646.49651972175229</v>
      </c>
      <c r="H8" s="65">
        <v>5000.9095127623714</v>
      </c>
      <c r="I8" s="3">
        <v>5.0999999999999996</v>
      </c>
      <c r="J8" s="1">
        <v>7.23</v>
      </c>
      <c r="K8" s="20">
        <v>6</v>
      </c>
      <c r="L8"/>
      <c r="M8"/>
      <c r="N8" s="20">
        <v>6</v>
      </c>
      <c r="V8" s="84">
        <v>26</v>
      </c>
      <c r="W8" s="93">
        <v>2</v>
      </c>
      <c r="X8" s="85">
        <v>219257</v>
      </c>
      <c r="Y8" s="84">
        <v>2318</v>
      </c>
    </row>
    <row r="9" spans="1:25" ht="14" customHeight="1">
      <c r="B9" s="20">
        <v>7</v>
      </c>
      <c r="C9" s="65">
        <v>1614.0880503121018</v>
      </c>
      <c r="D9" s="2">
        <v>61.2</v>
      </c>
      <c r="E9" s="1">
        <v>364</v>
      </c>
      <c r="F9" s="20">
        <v>7</v>
      </c>
      <c r="G9" s="65">
        <v>672.20125786065091</v>
      </c>
      <c r="H9" s="65">
        <v>5689.5597484193413</v>
      </c>
      <c r="I9" s="3">
        <v>5.03</v>
      </c>
      <c r="J9" s="1">
        <v>7.18</v>
      </c>
      <c r="K9" s="20">
        <v>7</v>
      </c>
      <c r="L9"/>
      <c r="M9"/>
      <c r="N9" s="20">
        <v>7</v>
      </c>
      <c r="V9" s="84">
        <v>8</v>
      </c>
      <c r="W9" s="84">
        <v>0</v>
      </c>
      <c r="X9" s="85">
        <v>220957</v>
      </c>
      <c r="Y9" s="84">
        <v>2334</v>
      </c>
    </row>
    <row r="10" spans="1:25" ht="14" customHeight="1">
      <c r="A10" t="s">
        <v>92</v>
      </c>
      <c r="B10" s="20">
        <v>8</v>
      </c>
      <c r="C10" s="79">
        <v>1594.9120433037692</v>
      </c>
      <c r="D10" s="2">
        <v>61.4</v>
      </c>
      <c r="E10" s="1">
        <v>289</v>
      </c>
      <c r="F10" s="20">
        <v>8</v>
      </c>
      <c r="G10" s="65">
        <v>623.54533152987915</v>
      </c>
      <c r="H10" s="65">
        <v>5422.895805148918</v>
      </c>
      <c r="I10" s="3">
        <v>5.0199999999999996</v>
      </c>
      <c r="J10" s="1">
        <v>7.24</v>
      </c>
      <c r="K10" s="20">
        <v>8</v>
      </c>
      <c r="L10"/>
      <c r="M10" s="45">
        <f>AVERAGE(0.54,0.43,0.47)</f>
        <v>0.48</v>
      </c>
      <c r="N10" s="20">
        <v>8</v>
      </c>
      <c r="O10" s="48">
        <f>AVERAGE(2400,2500,2450)</f>
        <v>2450</v>
      </c>
      <c r="Q10" s="48">
        <f>AVERAGE(1600,1675,1625)</f>
        <v>1633.3333333333333</v>
      </c>
      <c r="R10" s="48">
        <f>AVERAGE(6600,5550,6100)</f>
        <v>6083.333333333333</v>
      </c>
      <c r="S10" s="48">
        <f>AVERAGE(3975,3750,3900)</f>
        <v>3875</v>
      </c>
      <c r="T10" s="48">
        <f>AVERAGE(2150,1600,1850)</f>
        <v>1866.6666666666667</v>
      </c>
      <c r="V10" s="84">
        <v>9</v>
      </c>
      <c r="W10" s="93">
        <v>1</v>
      </c>
      <c r="X10" s="85">
        <v>222557</v>
      </c>
      <c r="Y10" s="84">
        <v>2350</v>
      </c>
    </row>
    <row r="11" spans="1:25" ht="14" customHeight="1">
      <c r="B11" s="20">
        <v>9</v>
      </c>
      <c r="C11" s="79"/>
      <c r="D11" s="2"/>
      <c r="E11" s="1"/>
      <c r="F11" s="20">
        <v>9</v>
      </c>
      <c r="G11" s="65"/>
      <c r="H11" s="65"/>
      <c r="I11" s="3"/>
      <c r="J11" s="1"/>
      <c r="K11" s="20">
        <v>9</v>
      </c>
      <c r="L11"/>
      <c r="M11" s="45"/>
      <c r="N11" s="20">
        <v>9</v>
      </c>
      <c r="V11" s="84"/>
      <c r="W11" s="84"/>
      <c r="X11" s="85"/>
      <c r="Y11" s="84"/>
    </row>
    <row r="12" spans="1:25" ht="14" customHeight="1">
      <c r="A12" t="s">
        <v>91</v>
      </c>
      <c r="B12" s="20">
        <v>10</v>
      </c>
      <c r="C12" s="65">
        <v>1641.9298854545809</v>
      </c>
      <c r="D12" s="2">
        <v>60.7</v>
      </c>
      <c r="E12" s="1">
        <v>369</v>
      </c>
      <c r="F12" s="20">
        <v>10</v>
      </c>
      <c r="G12" s="65">
        <v>581.29816036032798</v>
      </c>
      <c r="H12" s="65">
        <v>5229.6841374463565</v>
      </c>
      <c r="I12" s="3"/>
      <c r="J12" s="1"/>
      <c r="K12" s="20">
        <v>10</v>
      </c>
      <c r="L12"/>
      <c r="M12"/>
      <c r="N12" s="20">
        <v>10</v>
      </c>
      <c r="V12" s="84">
        <v>17</v>
      </c>
      <c r="W12" s="84">
        <v>0</v>
      </c>
      <c r="X12" s="85">
        <v>225857</v>
      </c>
      <c r="Y12" s="84">
        <v>2379</v>
      </c>
    </row>
    <row r="13" spans="1:25" ht="14" customHeight="1">
      <c r="B13" s="20">
        <v>11</v>
      </c>
      <c r="C13" s="65">
        <v>2137.0637119075673</v>
      </c>
      <c r="D13" s="2">
        <v>60.5</v>
      </c>
      <c r="E13" s="1">
        <v>350</v>
      </c>
      <c r="F13" s="20">
        <v>11</v>
      </c>
      <c r="G13" s="65">
        <v>561.44044321230058</v>
      </c>
      <c r="H13" s="65">
        <v>4945.2631578859655</v>
      </c>
      <c r="I13" s="3"/>
      <c r="J13" s="1"/>
      <c r="K13" s="20">
        <v>11</v>
      </c>
      <c r="L13"/>
      <c r="M13"/>
      <c r="N13" s="20">
        <v>11</v>
      </c>
      <c r="V13" s="84">
        <v>9</v>
      </c>
      <c r="W13" s="84">
        <v>0</v>
      </c>
      <c r="X13" s="85">
        <v>228157</v>
      </c>
      <c r="Y13" s="84">
        <v>2394</v>
      </c>
    </row>
    <row r="14" spans="1:25" ht="14" customHeight="1">
      <c r="A14" t="s">
        <v>90</v>
      </c>
      <c r="B14" s="20">
        <v>12</v>
      </c>
      <c r="C14" s="79">
        <v>1882.5974026087874</v>
      </c>
      <c r="D14" s="2">
        <v>60.3</v>
      </c>
      <c r="E14" s="1">
        <v>275</v>
      </c>
      <c r="F14" s="20">
        <v>12</v>
      </c>
      <c r="G14" s="65">
        <v>554.80519480855003</v>
      </c>
      <c r="H14" s="65">
        <v>4431.1688311956286</v>
      </c>
      <c r="I14" s="3">
        <v>5.25</v>
      </c>
      <c r="J14" s="1">
        <v>7.17</v>
      </c>
      <c r="K14" s="20">
        <v>12</v>
      </c>
      <c r="L14"/>
      <c r="M14"/>
      <c r="N14" s="20">
        <v>12</v>
      </c>
      <c r="V14" s="84">
        <v>9</v>
      </c>
      <c r="W14" s="93">
        <v>6</v>
      </c>
      <c r="X14" s="85">
        <v>229957</v>
      </c>
      <c r="Y14" s="84">
        <v>2406</v>
      </c>
    </row>
    <row r="15" spans="1:25" ht="14" customHeight="1">
      <c r="B15" s="20">
        <v>13</v>
      </c>
      <c r="C15" s="65">
        <v>1351.6137931023632</v>
      </c>
      <c r="D15" s="2">
        <v>60</v>
      </c>
      <c r="E15" s="1">
        <v>262</v>
      </c>
      <c r="F15" s="20">
        <v>13</v>
      </c>
      <c r="G15" s="65">
        <v>628.63448275811595</v>
      </c>
      <c r="H15" s="65">
        <v>3031.9448275837726</v>
      </c>
      <c r="I15" s="3">
        <v>5.25</v>
      </c>
      <c r="J15" s="1">
        <v>7.23</v>
      </c>
      <c r="K15" s="20">
        <v>13</v>
      </c>
      <c r="L15"/>
      <c r="M15"/>
      <c r="N15" s="20">
        <v>13</v>
      </c>
      <c r="V15" s="84">
        <v>6</v>
      </c>
      <c r="W15" s="93">
        <v>1</v>
      </c>
      <c r="X15" s="85">
        <v>231257</v>
      </c>
      <c r="Y15" s="84">
        <v>2415</v>
      </c>
    </row>
    <row r="16" spans="1:25" ht="14" customHeight="1">
      <c r="B16" s="20">
        <v>14</v>
      </c>
      <c r="C16" s="65">
        <v>1708.4081632612472</v>
      </c>
      <c r="D16" s="2">
        <v>60.5</v>
      </c>
      <c r="E16" s="1">
        <v>342</v>
      </c>
      <c r="F16" s="20">
        <v>14</v>
      </c>
      <c r="G16" s="65">
        <v>491.75510203964802</v>
      </c>
      <c r="H16" s="65">
        <v>4415.0204081527754</v>
      </c>
      <c r="I16" s="3"/>
      <c r="J16" s="1"/>
      <c r="K16" s="20">
        <v>14</v>
      </c>
      <c r="L16"/>
      <c r="M16"/>
      <c r="N16" s="20">
        <v>14</v>
      </c>
      <c r="V16" s="84">
        <v>9</v>
      </c>
      <c r="W16" s="84">
        <v>0</v>
      </c>
      <c r="X16" s="85">
        <v>233057</v>
      </c>
      <c r="Y16" s="84">
        <v>2428</v>
      </c>
    </row>
    <row r="17" spans="1:25" ht="14" customHeight="1">
      <c r="B17" s="20">
        <v>15</v>
      </c>
      <c r="C17" s="65">
        <v>1783.7288135654812</v>
      </c>
      <c r="D17" s="2">
        <v>60.3</v>
      </c>
      <c r="E17" s="1">
        <v>330</v>
      </c>
      <c r="F17" s="20">
        <v>15</v>
      </c>
      <c r="G17" s="65">
        <v>627.45762712081068</v>
      </c>
      <c r="H17" s="65">
        <v>4448.1355932356983</v>
      </c>
      <c r="I17" s="3">
        <v>5.14</v>
      </c>
      <c r="J17" s="1">
        <v>7.32</v>
      </c>
      <c r="K17" s="20">
        <v>15</v>
      </c>
      <c r="L17"/>
      <c r="M17" s="45">
        <f>AVERAGE(0.54,0.6,0.72,0.57)</f>
        <v>0.60750000000000004</v>
      </c>
      <c r="N17" s="20">
        <v>15</v>
      </c>
      <c r="O17" s="48">
        <f>AVERAGE(2800,2825,2850)</f>
        <v>2825</v>
      </c>
      <c r="Q17" s="48">
        <f>AVERAGE(1975,2025,2075)</f>
        <v>2025</v>
      </c>
      <c r="R17" s="48">
        <f>AVERAGE(6275,6275,6125,6000)</f>
        <v>6168.75</v>
      </c>
      <c r="S17" s="48">
        <f>AVERAGE(3875,3675,3400,3600)</f>
        <v>3637.5</v>
      </c>
      <c r="T17" s="48">
        <f>AVERAGE(2100,2200,2450,2050)</f>
        <v>2200</v>
      </c>
      <c r="U17"/>
      <c r="V17" s="84">
        <v>8</v>
      </c>
      <c r="W17" s="84">
        <v>0</v>
      </c>
      <c r="X17" s="85">
        <v>234857</v>
      </c>
      <c r="Y17" s="84">
        <v>2440</v>
      </c>
    </row>
    <row r="18" spans="1:25" ht="14" customHeight="1">
      <c r="A18" t="s">
        <v>89</v>
      </c>
      <c r="B18" s="20">
        <v>16</v>
      </c>
      <c r="C18" s="65">
        <v>1964.1926345566958</v>
      </c>
      <c r="D18" s="2">
        <v>60</v>
      </c>
      <c r="E18" s="1">
        <v>323</v>
      </c>
      <c r="F18" s="20">
        <v>16</v>
      </c>
      <c r="G18" s="65">
        <v>509.91501416321285</v>
      </c>
      <c r="H18" s="65">
        <v>4303.6827195375172</v>
      </c>
      <c r="I18" s="3">
        <v>5.19</v>
      </c>
      <c r="J18" s="1">
        <v>7.15</v>
      </c>
      <c r="K18" s="20">
        <v>16</v>
      </c>
      <c r="L18"/>
      <c r="M18"/>
      <c r="N18" s="20">
        <v>16</v>
      </c>
      <c r="U18"/>
      <c r="V18" s="84">
        <v>9</v>
      </c>
      <c r="W18" s="84">
        <v>0</v>
      </c>
      <c r="X18" s="85">
        <v>236757</v>
      </c>
      <c r="Y18" s="84">
        <v>2452</v>
      </c>
    </row>
    <row r="19" spans="1:25" ht="14" customHeight="1">
      <c r="B19" s="20">
        <v>17</v>
      </c>
      <c r="C19" s="65" t="s">
        <v>0</v>
      </c>
      <c r="D19" s="2">
        <v>59.9</v>
      </c>
      <c r="E19" s="1">
        <v>358</v>
      </c>
      <c r="F19" s="20">
        <v>17</v>
      </c>
      <c r="G19"/>
      <c r="H19"/>
      <c r="I19" s="3"/>
      <c r="J19" s="1"/>
      <c r="K19" s="20">
        <v>17</v>
      </c>
      <c r="L19"/>
      <c r="M19"/>
      <c r="N19" s="20">
        <v>17</v>
      </c>
      <c r="U19"/>
      <c r="V19" s="84"/>
      <c r="W19" s="84"/>
      <c r="X19" s="85"/>
      <c r="Y19" s="84"/>
    </row>
    <row r="20" spans="1:25" ht="14" customHeight="1">
      <c r="A20" t="s">
        <v>88</v>
      </c>
      <c r="B20" s="20">
        <v>18</v>
      </c>
      <c r="C20" s="65">
        <v>4249.6099843932016</v>
      </c>
      <c r="D20" s="2">
        <v>59.6</v>
      </c>
      <c r="E20" s="1">
        <v>432</v>
      </c>
      <c r="F20" s="20">
        <v>18</v>
      </c>
      <c r="G20" s="65">
        <v>1207.8627145068253</v>
      </c>
      <c r="H20" s="65">
        <v>9188.8923556808768</v>
      </c>
      <c r="I20" s="3">
        <v>5.35</v>
      </c>
      <c r="J20" s="1">
        <v>7.13</v>
      </c>
      <c r="K20" s="20">
        <v>18</v>
      </c>
      <c r="L20"/>
      <c r="M20"/>
      <c r="N20" s="20">
        <v>18</v>
      </c>
      <c r="U20"/>
      <c r="V20" s="84">
        <v>27</v>
      </c>
      <c r="W20" s="84">
        <v>0</v>
      </c>
      <c r="X20" s="85">
        <v>240557</v>
      </c>
      <c r="Y20" s="84">
        <v>2475</v>
      </c>
    </row>
    <row r="21" spans="1:25" ht="14" customHeight="1">
      <c r="B21" s="20">
        <v>19</v>
      </c>
      <c r="C21" s="65">
        <v>1870.9202454067904</v>
      </c>
      <c r="D21" s="2">
        <v>59.5</v>
      </c>
      <c r="E21" s="1">
        <v>295</v>
      </c>
      <c r="F21" s="20">
        <v>19</v>
      </c>
      <c r="G21" s="65">
        <v>596.80981595347771</v>
      </c>
      <c r="H21" s="65">
        <v>4032.3926380540893</v>
      </c>
      <c r="I21" s="3">
        <v>5.13</v>
      </c>
      <c r="J21" s="1">
        <v>7.13</v>
      </c>
      <c r="K21" s="20">
        <v>19</v>
      </c>
      <c r="L21"/>
      <c r="M21"/>
      <c r="N21" s="20">
        <v>19</v>
      </c>
      <c r="U21"/>
      <c r="V21" s="84">
        <v>9</v>
      </c>
      <c r="W21" s="84">
        <v>0</v>
      </c>
      <c r="X21" s="85">
        <v>242557</v>
      </c>
      <c r="Y21" s="84">
        <v>2987</v>
      </c>
    </row>
    <row r="22" spans="1:25" ht="14" customHeight="1">
      <c r="B22" s="20">
        <v>20</v>
      </c>
      <c r="C22"/>
      <c r="D22"/>
      <c r="E22"/>
      <c r="F22" s="20">
        <v>20</v>
      </c>
      <c r="G22" s="65"/>
      <c r="H22" s="65"/>
      <c r="I22" s="3"/>
      <c r="J22" s="1"/>
      <c r="K22" s="20">
        <v>20</v>
      </c>
      <c r="L22"/>
      <c r="M22"/>
      <c r="N22" s="20">
        <v>20</v>
      </c>
      <c r="U22"/>
      <c r="V22" s="84"/>
      <c r="W22" s="84"/>
      <c r="X22" s="85"/>
      <c r="Y22" s="84"/>
    </row>
    <row r="23" spans="1:25" ht="14" customHeight="1">
      <c r="A23" t="s">
        <v>87</v>
      </c>
      <c r="B23" s="20">
        <v>21</v>
      </c>
      <c r="C23" s="79">
        <v>1945.1308900499848</v>
      </c>
      <c r="D23" s="2">
        <v>60.2</v>
      </c>
      <c r="E23" s="1">
        <v>320</v>
      </c>
      <c r="F23" s="20">
        <v>21</v>
      </c>
      <c r="G23" s="79">
        <v>549.36125654383295</v>
      </c>
      <c r="H23" s="79">
        <v>4200.8795811467116</v>
      </c>
      <c r="I23" s="3">
        <v>5.04</v>
      </c>
      <c r="J23" s="1">
        <v>7.21</v>
      </c>
      <c r="K23" s="20">
        <v>21</v>
      </c>
      <c r="L23"/>
      <c r="M23" s="45">
        <f>AVERAGE(0.6,0.66,0.65)</f>
        <v>0.63666666666666671</v>
      </c>
      <c r="N23" s="20">
        <v>21</v>
      </c>
      <c r="O23" s="48">
        <f>AVERAGE(2450,2550,2475)</f>
        <v>2491.6666666666665</v>
      </c>
      <c r="Q23" s="48">
        <f>AVERAGE(1700,1775,1700)</f>
        <v>1725</v>
      </c>
      <c r="R23" s="48">
        <f>AVERAGE(6174,6025,6000)</f>
        <v>6066.333333333333</v>
      </c>
      <c r="S23" s="48">
        <f>AVERAGE(3600,3350,3425)</f>
        <v>3458.3333333333335</v>
      </c>
      <c r="T23" s="48">
        <f>AVERAGE(2150,2225,2225)</f>
        <v>2200</v>
      </c>
      <c r="U23"/>
      <c r="V23" s="84">
        <v>18</v>
      </c>
      <c r="W23" s="93">
        <v>1</v>
      </c>
      <c r="X23" s="85">
        <v>246457</v>
      </c>
      <c r="Y23" s="84">
        <v>2511</v>
      </c>
    </row>
    <row r="24" spans="1:25" ht="14" customHeight="1">
      <c r="A24" t="s">
        <v>86</v>
      </c>
      <c r="B24" s="20">
        <v>22</v>
      </c>
      <c r="C24" s="65">
        <v>2052.378947363391</v>
      </c>
      <c r="D24" s="2">
        <v>61.1</v>
      </c>
      <c r="E24" s="1">
        <v>480</v>
      </c>
      <c r="F24" s="20">
        <v>22</v>
      </c>
      <c r="G24" s="65">
        <v>496.16842105141558</v>
      </c>
      <c r="H24" s="65">
        <v>4417.0105263049636</v>
      </c>
      <c r="I24" s="3"/>
      <c r="J24" s="1"/>
      <c r="K24" s="20">
        <v>22</v>
      </c>
      <c r="L24"/>
      <c r="M24"/>
      <c r="N24" s="20">
        <v>22</v>
      </c>
      <c r="O24" s="48" t="s">
        <v>0</v>
      </c>
      <c r="Q24" s="48" t="s">
        <v>0</v>
      </c>
      <c r="R24" s="48" t="s">
        <v>0</v>
      </c>
      <c r="S24" s="48" t="s">
        <v>0</v>
      </c>
      <c r="T24" s="48" t="s">
        <v>0</v>
      </c>
      <c r="U24"/>
      <c r="V24" s="84">
        <v>10</v>
      </c>
      <c r="W24" s="84">
        <v>0</v>
      </c>
      <c r="X24" s="85">
        <v>248457</v>
      </c>
      <c r="Y24" s="84">
        <v>2524</v>
      </c>
    </row>
    <row r="25" spans="1:25" ht="14" customHeight="1">
      <c r="A25" t="s">
        <v>85</v>
      </c>
      <c r="B25" s="20">
        <v>23</v>
      </c>
      <c r="C25" s="65">
        <v>1579</v>
      </c>
      <c r="D25" s="2">
        <v>62.3</v>
      </c>
      <c r="E25" s="1">
        <v>329</v>
      </c>
      <c r="F25" s="20">
        <v>23</v>
      </c>
      <c r="G25" s="65">
        <v>532</v>
      </c>
      <c r="H25" s="65">
        <v>4566</v>
      </c>
      <c r="I25" s="3">
        <v>5.19</v>
      </c>
      <c r="J25" s="1">
        <v>7.13</v>
      </c>
      <c r="K25" s="20">
        <v>23</v>
      </c>
      <c r="L25"/>
      <c r="M25"/>
      <c r="N25" s="20">
        <v>23</v>
      </c>
      <c r="U25"/>
      <c r="V25" s="84">
        <v>9</v>
      </c>
      <c r="W25" s="84">
        <v>0</v>
      </c>
      <c r="X25" s="85">
        <v>250057</v>
      </c>
      <c r="Y25" s="84">
        <v>2537</v>
      </c>
    </row>
    <row r="26" spans="1:25" ht="14" customHeight="1">
      <c r="A26" t="s">
        <v>84</v>
      </c>
      <c r="B26" s="20">
        <v>24</v>
      </c>
      <c r="C26" s="79">
        <v>1348.3183391046909</v>
      </c>
      <c r="D26" s="2">
        <v>63.2</v>
      </c>
      <c r="E26" s="1">
        <v>413</v>
      </c>
      <c r="F26" s="20">
        <v>24</v>
      </c>
      <c r="G26" s="65">
        <v>577.99307958663769</v>
      </c>
      <c r="H26" s="65">
        <v>5140.1522491515125</v>
      </c>
      <c r="I26" s="3"/>
      <c r="J26" s="1"/>
      <c r="K26" s="20">
        <v>24</v>
      </c>
      <c r="L26"/>
      <c r="M26"/>
      <c r="N26" s="20">
        <v>24</v>
      </c>
      <c r="U26"/>
      <c r="V26" s="84">
        <v>8</v>
      </c>
      <c r="W26" s="93">
        <v>6</v>
      </c>
      <c r="X26" s="85">
        <v>251457</v>
      </c>
      <c r="Y26" s="84">
        <v>2552</v>
      </c>
    </row>
    <row r="27" spans="1:25" ht="14" customHeight="1">
      <c r="B27" s="20">
        <v>25</v>
      </c>
      <c r="C27" s="65">
        <v>1535.33793103325</v>
      </c>
      <c r="D27" s="2">
        <v>63.2</v>
      </c>
      <c r="E27" s="1">
        <v>333</v>
      </c>
      <c r="F27" s="20">
        <v>25</v>
      </c>
      <c r="G27" s="65">
        <v>504.49655172373286</v>
      </c>
      <c r="H27" s="65">
        <v>6031.117241374468</v>
      </c>
      <c r="I27" s="3">
        <v>5.1100000000000003</v>
      </c>
      <c r="J27" s="1">
        <v>7.13</v>
      </c>
      <c r="K27" s="20">
        <v>25</v>
      </c>
      <c r="L27"/>
      <c r="M27"/>
      <c r="N27" s="20">
        <v>25</v>
      </c>
      <c r="U27"/>
      <c r="V27" s="84">
        <v>7</v>
      </c>
      <c r="W27" s="84">
        <v>0</v>
      </c>
      <c r="X27" s="85">
        <v>253057</v>
      </c>
      <c r="Y27" s="84">
        <v>2569</v>
      </c>
    </row>
    <row r="28" spans="1:25" ht="14" customHeight="1">
      <c r="B28" s="20">
        <v>26</v>
      </c>
      <c r="C28" s="65">
        <v>1536</v>
      </c>
      <c r="D28" s="2">
        <v>62</v>
      </c>
      <c r="E28" s="1">
        <v>367</v>
      </c>
      <c r="F28" s="20">
        <v>26</v>
      </c>
      <c r="G28" s="65">
        <v>530</v>
      </c>
      <c r="H28" s="65">
        <v>5710</v>
      </c>
      <c r="I28" s="3">
        <v>5.43</v>
      </c>
      <c r="J28" s="1">
        <v>7.05</v>
      </c>
      <c r="K28" s="20">
        <v>26</v>
      </c>
      <c r="L28"/>
      <c r="M28"/>
      <c r="N28" s="20">
        <v>26</v>
      </c>
      <c r="U28"/>
      <c r="V28" s="84">
        <v>8</v>
      </c>
      <c r="W28" s="84">
        <v>0</v>
      </c>
      <c r="X28" s="85">
        <v>254557</v>
      </c>
      <c r="Y28" s="84">
        <v>2585</v>
      </c>
    </row>
    <row r="29" spans="1:25" ht="14" customHeight="1">
      <c r="A29" t="s">
        <v>83</v>
      </c>
      <c r="B29" s="20">
        <v>27</v>
      </c>
      <c r="C29" s="65">
        <v>2178.4359861661897</v>
      </c>
      <c r="D29" s="2">
        <v>61.8</v>
      </c>
      <c r="E29" s="1">
        <v>400</v>
      </c>
      <c r="F29" s="20">
        <v>27</v>
      </c>
      <c r="G29" s="65">
        <v>589.95155709532673</v>
      </c>
      <c r="H29" s="65">
        <v>5443.1003460383017</v>
      </c>
      <c r="I29" s="3">
        <v>5.19</v>
      </c>
      <c r="J29" s="1">
        <v>7.03</v>
      </c>
      <c r="K29" s="20">
        <v>27</v>
      </c>
      <c r="L29"/>
      <c r="M29"/>
      <c r="N29" s="20">
        <v>27</v>
      </c>
      <c r="U29"/>
      <c r="V29" s="84">
        <v>9</v>
      </c>
      <c r="W29" s="84">
        <v>0</v>
      </c>
      <c r="X29" s="85">
        <v>256757</v>
      </c>
      <c r="Y29" s="84">
        <v>2600</v>
      </c>
    </row>
    <row r="30" spans="1:25" ht="14" customHeight="1">
      <c r="A30" t="s">
        <v>82</v>
      </c>
      <c r="B30" s="20">
        <v>28</v>
      </c>
      <c r="C30" s="65">
        <v>1749.0731707260315</v>
      </c>
      <c r="D30" s="2">
        <v>60.7</v>
      </c>
      <c r="E30" s="1">
        <v>263</v>
      </c>
      <c r="F30" s="20">
        <v>28</v>
      </c>
      <c r="G30" s="65">
        <v>437.51916376164644</v>
      </c>
      <c r="H30" s="65">
        <v>4815.7212543397736</v>
      </c>
      <c r="I30" s="3">
        <v>5.13</v>
      </c>
      <c r="J30" s="1">
        <v>6.99</v>
      </c>
      <c r="K30" s="20">
        <v>28</v>
      </c>
      <c r="L30"/>
      <c r="M30"/>
      <c r="N30" s="20">
        <v>28</v>
      </c>
      <c r="U30"/>
      <c r="V30" s="84">
        <v>7</v>
      </c>
      <c r="W30" s="93">
        <v>11</v>
      </c>
      <c r="X30" s="85">
        <v>258557</v>
      </c>
      <c r="Y30" s="84">
        <v>2614</v>
      </c>
    </row>
    <row r="31" spans="1:25" ht="14" customHeight="1">
      <c r="A31" t="s">
        <v>81</v>
      </c>
      <c r="B31" s="20">
        <v>29</v>
      </c>
      <c r="C31" s="65">
        <v>1784.2827442836081</v>
      </c>
      <c r="D31" s="2">
        <v>61.9</v>
      </c>
      <c r="E31" s="1">
        <v>196</v>
      </c>
      <c r="F31" s="20">
        <v>29</v>
      </c>
      <c r="G31" s="65">
        <v>540.87318087344272</v>
      </c>
      <c r="H31" s="65">
        <v>5414.7193347219554</v>
      </c>
      <c r="I31" s="3">
        <v>5.35</v>
      </c>
      <c r="J31" s="1">
        <v>7.12</v>
      </c>
      <c r="K31" s="20">
        <v>29</v>
      </c>
      <c r="L31"/>
      <c r="M31" s="45">
        <f>AVERAGE(0.82,0.85,0.84)</f>
        <v>0.83666666666666656</v>
      </c>
      <c r="N31" s="20">
        <v>29</v>
      </c>
      <c r="O31" s="48">
        <f>AVERAGE(2675,2625,2750)</f>
        <v>2683.3333333333335</v>
      </c>
      <c r="Q31" s="48">
        <f>AVERAGE(1975,1900,2000)</f>
        <v>1958.3333333333333</v>
      </c>
      <c r="R31" s="48">
        <f>AVERAGE(5600,5700,5650)</f>
        <v>5650</v>
      </c>
      <c r="S31" s="48">
        <f>AVERAGE(2850,2850,2850)</f>
        <v>2850</v>
      </c>
      <c r="T31" s="48">
        <f>AVERAGE(2350,2425,2400)</f>
        <v>2391.6666666666665</v>
      </c>
      <c r="U31"/>
      <c r="V31" s="84">
        <v>9</v>
      </c>
      <c r="W31" s="84">
        <v>0</v>
      </c>
      <c r="X31" s="85">
        <v>260357</v>
      </c>
      <c r="Y31" s="84">
        <v>2629</v>
      </c>
    </row>
    <row r="32" spans="1:25" ht="14" customHeight="1">
      <c r="A32" t="s">
        <v>80</v>
      </c>
      <c r="B32" s="20">
        <v>30</v>
      </c>
      <c r="C32" s="65">
        <v>588.49545136641245</v>
      </c>
      <c r="D32"/>
      <c r="E32"/>
      <c r="F32" s="20">
        <v>30</v>
      </c>
      <c r="G32" s="65">
        <v>544.15675297579241</v>
      </c>
      <c r="H32" s="65">
        <v>1960.9797060942442</v>
      </c>
      <c r="I32" s="3"/>
      <c r="J32" s="1"/>
      <c r="K32" s="20">
        <v>30</v>
      </c>
      <c r="L32"/>
      <c r="M32"/>
      <c r="N32" s="20">
        <v>30</v>
      </c>
      <c r="O32" s="48" t="s">
        <v>0</v>
      </c>
      <c r="Q32" s="48" t="s">
        <v>0</v>
      </c>
      <c r="R32" s="48" t="s">
        <v>0</v>
      </c>
      <c r="S32" s="48" t="s">
        <v>0</v>
      </c>
      <c r="T32" s="48" t="s">
        <v>0</v>
      </c>
      <c r="U32"/>
      <c r="V32" s="84">
        <v>3</v>
      </c>
      <c r="W32" s="93">
        <v>4</v>
      </c>
      <c r="X32" s="85">
        <v>260957</v>
      </c>
      <c r="Y32" s="84">
        <v>2635</v>
      </c>
    </row>
    <row r="33" spans="2:25" ht="14" customHeight="1">
      <c r="B33" s="20">
        <v>31</v>
      </c>
      <c r="C33" s="65">
        <v>1756.4265129573985</v>
      </c>
      <c r="D33"/>
      <c r="E33"/>
      <c r="F33" s="20">
        <v>31</v>
      </c>
      <c r="G33" s="65">
        <v>531.18155619266861</v>
      </c>
      <c r="H33" s="65">
        <v>5313.8904898805631</v>
      </c>
      <c r="I33" s="3"/>
      <c r="J33" s="1"/>
      <c r="K33" s="20">
        <v>31</v>
      </c>
      <c r="L33"/>
      <c r="M33"/>
      <c r="N33" s="20">
        <v>31</v>
      </c>
      <c r="V33" s="84">
        <v>9</v>
      </c>
      <c r="W33" s="84">
        <v>0</v>
      </c>
      <c r="X33" s="85">
        <v>262657</v>
      </c>
      <c r="Y33" s="84">
        <v>2649</v>
      </c>
    </row>
    <row r="34" spans="2:25" ht="14" customHeight="1">
      <c r="C34"/>
      <c r="D34"/>
      <c r="E34"/>
      <c r="F34"/>
      <c r="G34"/>
      <c r="H34"/>
      <c r="I34"/>
      <c r="J34"/>
      <c r="K34"/>
      <c r="L34"/>
      <c r="M34"/>
      <c r="O34"/>
      <c r="P34"/>
      <c r="Q34"/>
      <c r="R34"/>
      <c r="S34"/>
      <c r="T34"/>
      <c r="U34"/>
    </row>
    <row r="35" spans="2:25" s="57" customFormat="1">
      <c r="B35" s="57" t="s">
        <v>22</v>
      </c>
      <c r="C35" s="49">
        <f>AVERAGE(C3:C34)</f>
        <v>1802.0800077055242</v>
      </c>
      <c r="D35" s="58">
        <f>AVERAGE(D3:D34)</f>
        <v>60.995652173913058</v>
      </c>
      <c r="E35" s="58">
        <f>AVERAGE(E3:E34)</f>
        <v>317.83999999999997</v>
      </c>
      <c r="F35" s="57" t="s">
        <v>22</v>
      </c>
      <c r="G35" s="59">
        <f>AVERAGE(G3:G34)</f>
        <v>594.69178589035687</v>
      </c>
      <c r="H35" s="59">
        <f>AVERAGE(H3:H34)</f>
        <v>4888.1365095691481</v>
      </c>
      <c r="I35" s="60">
        <f>AVERAGE(I3:I34)</f>
        <v>5.1589473684210514</v>
      </c>
      <c r="J35" s="60">
        <f>AVERAGE(J3:J34)</f>
        <v>7.1631578947368419</v>
      </c>
      <c r="K35" s="61"/>
      <c r="M35" s="62">
        <f>AVERAGE(M3:M34)</f>
        <v>0.59550000000000003</v>
      </c>
      <c r="N35" s="57" t="s">
        <v>22</v>
      </c>
      <c r="O35" s="49">
        <f>AVERAGE(O3:O34)</f>
        <v>2473.666666666667</v>
      </c>
      <c r="P35" s="49" t="s">
        <v>0</v>
      </c>
      <c r="Q35" s="49">
        <f>AVERAGE(Q3:Q34)</f>
        <v>1683.0666666666668</v>
      </c>
      <c r="R35" s="49">
        <f>AVERAGE(R3:R34)</f>
        <v>6047.0166666666664</v>
      </c>
      <c r="S35" s="49">
        <f>AVERAGE(S3:S34)</f>
        <v>3608.166666666667</v>
      </c>
      <c r="T35" s="49">
        <f>AVERAGE(T3:T34)</f>
        <v>2080.1999999999998</v>
      </c>
      <c r="U35" s="49"/>
      <c r="V35"/>
      <c r="W35"/>
      <c r="X35"/>
      <c r="Y35"/>
    </row>
    <row r="36" spans="2:25" s="57" customFormat="1">
      <c r="B36" s="57" t="s">
        <v>23</v>
      </c>
      <c r="C36" s="49">
        <f>STDEV(C3:C34)</f>
        <v>587.26117140494489</v>
      </c>
      <c r="D36" s="58">
        <f>STDEV(D3:D34)</f>
        <v>1.0856411012809499</v>
      </c>
      <c r="E36" s="58">
        <f>STDEV(E3:E34)</f>
        <v>75.862089785786026</v>
      </c>
      <c r="F36" s="57" t="s">
        <v>23</v>
      </c>
      <c r="G36" s="59">
        <f>STDEV(G3:G34)</f>
        <v>138.99492910225788</v>
      </c>
      <c r="H36" s="59">
        <f>STDEV(H3:H34)</f>
        <v>1226.8537393261959</v>
      </c>
      <c r="I36" s="60">
        <f>STDEV(I3:I34)</f>
        <v>0.12183297933565101</v>
      </c>
      <c r="J36" s="60">
        <f>STDEV(J3:J34)</f>
        <v>8.1175573199149809E-2</v>
      </c>
      <c r="K36" s="61"/>
      <c r="M36" s="62">
        <f>STDEV(M3:M34)</f>
        <v>0.16226649890432276</v>
      </c>
      <c r="N36" s="57" t="s">
        <v>23</v>
      </c>
      <c r="O36" s="49">
        <f>STDEV(O3:O34)</f>
        <v>345.20806930185017</v>
      </c>
      <c r="P36" s="49" t="s">
        <v>0</v>
      </c>
      <c r="Q36" s="49">
        <f>STDEV(Q3:Q34)</f>
        <v>376.92516203853631</v>
      </c>
      <c r="R36" s="49">
        <f>STDEV(R3:R34)</f>
        <v>235.78559882043504</v>
      </c>
      <c r="S36" s="49">
        <f>STDEV(S3:S34)</f>
        <v>510.80016205513323</v>
      </c>
      <c r="T36" s="49">
        <f>STDEV(T3:T34)</f>
        <v>267.03969742343588</v>
      </c>
      <c r="U36" s="49"/>
      <c r="V36"/>
      <c r="W36"/>
      <c r="X36"/>
      <c r="Y36"/>
    </row>
    <row r="39" spans="2:25">
      <c r="V39" s="57"/>
      <c r="W39" s="57"/>
      <c r="X39" s="57"/>
      <c r="Y39" s="57"/>
    </row>
    <row r="40" spans="2:25">
      <c r="V40" s="57"/>
      <c r="W40" s="57"/>
      <c r="X40" s="57"/>
      <c r="Y40" s="57"/>
    </row>
  </sheetData>
  <conditionalFormatting sqref="I3:I33">
    <cfRule type="cellIs" dxfId="9" priority="1" operator="equal">
      <formula>0</formula>
    </cfRule>
    <cfRule type="cellIs" dxfId="8" priority="2" operator="lessThan">
      <formula>5</formula>
    </cfRule>
    <cfRule type="cellIs" dxfId="7" priority="3" operator="greaterThan">
      <formula>7.2</formula>
    </cfRule>
  </conditionalFormatting>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5"/>
  <sheetViews>
    <sheetView workbookViewId="0">
      <pane xSplit="1" ySplit="2" topLeftCell="B3" activePane="bottomRight" state="frozen"/>
      <selection pane="topRight" activeCell="B1" sqref="B1"/>
      <selection pane="bottomLeft" activeCell="A3" sqref="A3"/>
      <selection pane="bottomRight" activeCell="W21" sqref="W21"/>
    </sheetView>
  </sheetViews>
  <sheetFormatPr baseColWidth="10" defaultRowHeight="15" x14ac:dyDescent="0"/>
  <cols>
    <col min="1" max="1" width="6.33203125" customWidth="1"/>
    <col min="2" max="2" width="10.83203125" style="6"/>
    <col min="3" max="4" width="10.83203125" style="2"/>
    <col min="5" max="5" width="4.6640625" style="2" customWidth="1"/>
    <col min="8" max="8" width="5" customWidth="1"/>
    <col min="9" max="9" width="10.6640625" style="1" customWidth="1"/>
    <col min="10" max="10" width="8" style="1" customWidth="1"/>
    <col min="11" max="11" width="4.6640625" style="22" customWidth="1"/>
    <col min="14" max="14" width="5.1640625" customWidth="1"/>
    <col min="15" max="17" width="10.83203125" style="6"/>
    <col min="18" max="20" width="8.6640625" style="6" customWidth="1"/>
    <col min="21" max="21" width="5.1640625" style="6" customWidth="1"/>
    <col min="22" max="23" width="9.83203125" customWidth="1"/>
    <col min="26" max="26" width="4" customWidth="1"/>
    <col min="27" max="27" width="53" customWidth="1"/>
    <col min="29" max="29" width="6.83203125" customWidth="1"/>
    <col min="30" max="30" width="9" customWidth="1"/>
    <col min="31" max="31" width="9.6640625" customWidth="1"/>
    <col min="32" max="32" width="7.6640625" customWidth="1"/>
    <col min="33" max="35" width="9.6640625" customWidth="1"/>
    <col min="36" max="36" width="11.1640625" customWidth="1"/>
    <col min="37" max="37" width="7.83203125" customWidth="1"/>
  </cols>
  <sheetData>
    <row r="1" spans="1:37" s="9" customFormat="1" ht="18">
      <c r="A1" s="9" t="s">
        <v>21</v>
      </c>
      <c r="B1" s="11"/>
      <c r="C1" s="12"/>
      <c r="D1" s="12"/>
      <c r="E1" s="12"/>
      <c r="I1" s="10"/>
      <c r="J1" s="10"/>
      <c r="K1" s="19"/>
      <c r="O1" s="11"/>
      <c r="P1" s="11"/>
      <c r="Q1" s="11"/>
      <c r="R1" s="11"/>
      <c r="S1" s="11"/>
      <c r="T1" s="11"/>
      <c r="U1" s="11"/>
      <c r="AA1" s="9" t="s">
        <v>21</v>
      </c>
    </row>
    <row r="2" spans="1:37" s="23" customFormat="1" ht="75">
      <c r="A2" s="24" t="s">
        <v>25</v>
      </c>
      <c r="B2" s="25" t="s">
        <v>28</v>
      </c>
      <c r="C2" s="26" t="s">
        <v>9</v>
      </c>
      <c r="D2" s="26" t="s">
        <v>10</v>
      </c>
      <c r="E2" s="27" t="s">
        <v>24</v>
      </c>
      <c r="F2" s="23" t="s">
        <v>29</v>
      </c>
      <c r="G2" s="23" t="s">
        <v>30</v>
      </c>
      <c r="H2" s="27" t="s">
        <v>24</v>
      </c>
      <c r="I2" s="28" t="s">
        <v>1</v>
      </c>
      <c r="J2" s="29" t="s">
        <v>11</v>
      </c>
      <c r="K2" s="30" t="s">
        <v>24</v>
      </c>
      <c r="L2" s="23" t="s">
        <v>13</v>
      </c>
      <c r="M2" s="31" t="s">
        <v>14</v>
      </c>
      <c r="N2" s="27" t="s">
        <v>24</v>
      </c>
      <c r="O2" s="32" t="s">
        <v>15</v>
      </c>
      <c r="P2" s="32" t="s">
        <v>16</v>
      </c>
      <c r="Q2" s="32" t="s">
        <v>17</v>
      </c>
      <c r="R2" s="32" t="s">
        <v>18</v>
      </c>
      <c r="S2" s="32" t="s">
        <v>19</v>
      </c>
      <c r="T2" s="32" t="s">
        <v>20</v>
      </c>
      <c r="U2" s="32"/>
      <c r="V2" s="23" t="s">
        <v>5</v>
      </c>
      <c r="W2" s="23" t="s">
        <v>6</v>
      </c>
      <c r="X2" s="23" t="s">
        <v>7</v>
      </c>
      <c r="Y2" s="23" t="s">
        <v>8</v>
      </c>
      <c r="AA2" s="23" t="s">
        <v>12</v>
      </c>
      <c r="AB2" s="24" t="s">
        <v>25</v>
      </c>
      <c r="AC2" s="23" t="s">
        <v>69</v>
      </c>
      <c r="AD2" s="23" t="s">
        <v>68</v>
      </c>
      <c r="AE2" s="23" t="s">
        <v>66</v>
      </c>
      <c r="AF2" s="23" t="s">
        <v>70</v>
      </c>
      <c r="AG2" s="23" t="s">
        <v>67</v>
      </c>
      <c r="AH2" s="23" t="s">
        <v>71</v>
      </c>
      <c r="AI2" s="23" t="s">
        <v>73</v>
      </c>
      <c r="AJ2" s="23" t="s">
        <v>72</v>
      </c>
      <c r="AK2" s="23" t="s">
        <v>74</v>
      </c>
    </row>
    <row r="3" spans="1:37" ht="14" customHeight="1">
      <c r="A3" s="20">
        <v>1</v>
      </c>
      <c r="B3" s="65">
        <v>1237.3333333333335</v>
      </c>
      <c r="C3" s="2">
        <v>61.4</v>
      </c>
      <c r="D3" s="2">
        <v>272</v>
      </c>
      <c r="E3" s="20">
        <v>1</v>
      </c>
      <c r="F3" s="65">
        <v>505.21212121212125</v>
      </c>
      <c r="G3" s="65">
        <v>4757.3333333333339</v>
      </c>
      <c r="H3" s="20">
        <v>1</v>
      </c>
      <c r="I3" s="3">
        <v>5.35</v>
      </c>
      <c r="J3" s="1">
        <v>7.02</v>
      </c>
      <c r="K3" s="20">
        <v>1</v>
      </c>
      <c r="M3" s="4"/>
      <c r="N3" s="20">
        <v>1</v>
      </c>
      <c r="V3">
        <v>9</v>
      </c>
      <c r="W3">
        <v>0</v>
      </c>
      <c r="X3">
        <v>263957</v>
      </c>
      <c r="Y3">
        <v>2663</v>
      </c>
      <c r="AA3" t="s">
        <v>56</v>
      </c>
      <c r="AB3" s="20">
        <v>1</v>
      </c>
      <c r="AF3">
        <v>4</v>
      </c>
    </row>
    <row r="4" spans="1:37" ht="14" customHeight="1">
      <c r="A4" s="20">
        <v>2</v>
      </c>
      <c r="B4" s="65">
        <v>801.64948453800662</v>
      </c>
      <c r="C4" s="2">
        <v>61.1</v>
      </c>
      <c r="D4" s="2">
        <v>300</v>
      </c>
      <c r="E4" s="20">
        <v>2</v>
      </c>
      <c r="F4" s="65">
        <v>578.96907216633815</v>
      </c>
      <c r="G4" s="65">
        <v>2987.8762886669656</v>
      </c>
      <c r="H4" s="20">
        <v>2</v>
      </c>
      <c r="I4" s="3"/>
      <c r="K4" s="20">
        <v>2</v>
      </c>
      <c r="M4" s="4"/>
      <c r="N4" s="20">
        <v>2</v>
      </c>
      <c r="V4">
        <v>7</v>
      </c>
      <c r="W4" s="94">
        <v>5</v>
      </c>
      <c r="X4">
        <v>264757</v>
      </c>
      <c r="Y4">
        <v>2672</v>
      </c>
      <c r="AA4" t="s">
        <v>55</v>
      </c>
      <c r="AB4" s="20">
        <v>2</v>
      </c>
      <c r="AC4">
        <v>1</v>
      </c>
      <c r="AD4">
        <v>2</v>
      </c>
      <c r="AF4">
        <v>4</v>
      </c>
    </row>
    <row r="5" spans="1:37" ht="14" customHeight="1">
      <c r="A5" s="20">
        <v>3</v>
      </c>
      <c r="B5" s="65"/>
      <c r="E5" s="20">
        <v>3</v>
      </c>
      <c r="F5" s="65"/>
      <c r="G5" s="65"/>
      <c r="H5" s="20">
        <v>3</v>
      </c>
      <c r="I5" s="3"/>
      <c r="K5" s="20">
        <v>3</v>
      </c>
      <c r="M5" s="4"/>
      <c r="N5" s="20">
        <v>3</v>
      </c>
      <c r="AA5" t="s">
        <v>54</v>
      </c>
      <c r="AB5" s="20">
        <v>3</v>
      </c>
      <c r="AC5">
        <v>1</v>
      </c>
      <c r="AF5">
        <v>4</v>
      </c>
    </row>
    <row r="6" spans="1:37" ht="14" customHeight="1">
      <c r="A6" s="20">
        <v>4</v>
      </c>
      <c r="B6" s="65">
        <v>549</v>
      </c>
      <c r="C6" s="2">
        <v>61.3</v>
      </c>
      <c r="D6" s="2">
        <v>313</v>
      </c>
      <c r="E6" s="20">
        <v>4</v>
      </c>
      <c r="F6" s="65">
        <v>247</v>
      </c>
      <c r="G6" s="65">
        <v>2111</v>
      </c>
      <c r="H6" s="20">
        <v>4</v>
      </c>
      <c r="I6" s="3">
        <v>5.15</v>
      </c>
      <c r="J6" s="1">
        <v>7.02</v>
      </c>
      <c r="K6" s="20">
        <v>4</v>
      </c>
      <c r="M6" s="5">
        <f>AVERAGE(0.86,0.87,0.84)</f>
        <v>0.85666666666666658</v>
      </c>
      <c r="N6" s="20">
        <v>4</v>
      </c>
      <c r="O6" s="6">
        <f>AVERAGE(2887.5,2750,2875)</f>
        <v>2837.5</v>
      </c>
      <c r="Q6" s="6">
        <f>AVERAGE(1968,1900,1875)</f>
        <v>1914.3333333333333</v>
      </c>
      <c r="R6" s="6">
        <f>AVERAGE(5700,5675,5800)</f>
        <v>5725</v>
      </c>
      <c r="S6" s="6">
        <f>AVERAGE(2800,2800,2875)</f>
        <v>2825</v>
      </c>
      <c r="T6" s="6">
        <f>AVERAGE(2400,2425,2425)</f>
        <v>2416.6666666666665</v>
      </c>
      <c r="V6">
        <v>9</v>
      </c>
      <c r="W6" s="94">
        <v>1</v>
      </c>
      <c r="X6">
        <v>267257</v>
      </c>
      <c r="Y6">
        <v>2698</v>
      </c>
      <c r="AA6" t="s">
        <v>53</v>
      </c>
      <c r="AB6" s="20">
        <v>4</v>
      </c>
      <c r="AC6" t="s">
        <v>0</v>
      </c>
      <c r="AD6" t="s">
        <v>0</v>
      </c>
      <c r="AE6">
        <v>3</v>
      </c>
      <c r="AF6">
        <v>4</v>
      </c>
    </row>
    <row r="7" spans="1:37" ht="14" customHeight="1">
      <c r="A7" s="20">
        <v>5</v>
      </c>
      <c r="B7" s="65">
        <v>694.49591280797142</v>
      </c>
      <c r="C7" s="2">
        <v>60.6</v>
      </c>
      <c r="D7" s="2">
        <v>334</v>
      </c>
      <c r="E7" s="20">
        <v>5</v>
      </c>
      <c r="F7" s="65">
        <v>540.4904632163732</v>
      </c>
      <c r="G7" s="65">
        <v>2671.0626703052349</v>
      </c>
      <c r="H7" s="20">
        <v>5</v>
      </c>
      <c r="I7" s="3"/>
      <c r="K7" s="20">
        <v>5</v>
      </c>
      <c r="M7" s="5"/>
      <c r="N7" s="20">
        <v>5</v>
      </c>
      <c r="V7">
        <v>5</v>
      </c>
      <c r="W7" s="94">
        <v>4</v>
      </c>
      <c r="X7">
        <v>267257</v>
      </c>
      <c r="Y7">
        <v>2706</v>
      </c>
      <c r="AA7" t="s">
        <v>52</v>
      </c>
      <c r="AB7" s="20">
        <v>5</v>
      </c>
      <c r="AC7">
        <v>1</v>
      </c>
      <c r="AD7">
        <v>2</v>
      </c>
      <c r="AF7">
        <v>4</v>
      </c>
    </row>
    <row r="8" spans="1:37" ht="14" customHeight="1">
      <c r="A8" s="20">
        <v>6</v>
      </c>
      <c r="B8" s="65">
        <v>1143.3216538195743</v>
      </c>
      <c r="C8" s="2">
        <v>59.7</v>
      </c>
      <c r="D8" s="2">
        <v>354</v>
      </c>
      <c r="E8" s="20">
        <v>6</v>
      </c>
      <c r="F8" s="65">
        <v>559.04695164699388</v>
      </c>
      <c r="G8" s="65">
        <v>4193.8612473734775</v>
      </c>
      <c r="H8" s="20">
        <v>6</v>
      </c>
      <c r="I8" s="3"/>
      <c r="K8" s="20">
        <v>6</v>
      </c>
      <c r="M8" s="5"/>
      <c r="N8" s="20">
        <v>6</v>
      </c>
      <c r="V8">
        <v>9</v>
      </c>
      <c r="W8">
        <v>0</v>
      </c>
      <c r="X8">
        <v>269151</v>
      </c>
      <c r="Y8">
        <v>2718</v>
      </c>
      <c r="AA8" t="s">
        <v>51</v>
      </c>
      <c r="AB8" s="20">
        <v>6</v>
      </c>
      <c r="AC8">
        <v>1</v>
      </c>
      <c r="AF8">
        <v>4</v>
      </c>
    </row>
    <row r="9" spans="1:37" ht="14" customHeight="1">
      <c r="A9" s="20">
        <v>7</v>
      </c>
      <c r="B9" s="65">
        <v>820.89795918172319</v>
      </c>
      <c r="E9" s="20">
        <v>7</v>
      </c>
      <c r="F9" s="65">
        <v>538.77551020280157</v>
      </c>
      <c r="G9" s="65">
        <v>3166.0408163190086</v>
      </c>
      <c r="H9" s="20">
        <v>7</v>
      </c>
      <c r="I9" s="3"/>
      <c r="K9" s="20">
        <v>7</v>
      </c>
      <c r="M9" s="5"/>
      <c r="N9" s="20">
        <v>7</v>
      </c>
      <c r="V9">
        <v>7</v>
      </c>
      <c r="W9" s="94">
        <v>1</v>
      </c>
      <c r="X9">
        <v>269957</v>
      </c>
      <c r="Y9">
        <v>2727</v>
      </c>
      <c r="AA9" t="s">
        <v>51</v>
      </c>
      <c r="AB9" s="20">
        <v>7</v>
      </c>
      <c r="AC9">
        <v>1</v>
      </c>
      <c r="AF9">
        <v>4</v>
      </c>
    </row>
    <row r="10" spans="1:37" ht="14" customHeight="1">
      <c r="A10" s="20">
        <v>8</v>
      </c>
      <c r="B10" s="65">
        <v>718.41059602759776</v>
      </c>
      <c r="E10" s="20">
        <v>8</v>
      </c>
      <c r="F10" s="65">
        <v>452.45033112652544</v>
      </c>
      <c r="G10" s="65">
        <v>2670.1986755008056</v>
      </c>
      <c r="H10" s="20">
        <v>8</v>
      </c>
      <c r="I10" s="3">
        <v>5.34</v>
      </c>
      <c r="J10" s="1">
        <v>7.09</v>
      </c>
      <c r="K10" s="20">
        <v>8</v>
      </c>
      <c r="M10" s="5">
        <f>AVERAGE(0.77,0.9,0.88)</f>
        <v>0.85</v>
      </c>
      <c r="N10" s="20">
        <v>8</v>
      </c>
      <c r="V10">
        <v>6</v>
      </c>
      <c r="W10" s="94">
        <v>4</v>
      </c>
      <c r="X10">
        <v>270657</v>
      </c>
      <c r="Y10">
        <v>2734</v>
      </c>
      <c r="AA10" t="s">
        <v>50</v>
      </c>
      <c r="AB10" s="20">
        <v>8</v>
      </c>
      <c r="AC10">
        <v>1</v>
      </c>
    </row>
    <row r="11" spans="1:37" ht="14" customHeight="1">
      <c r="A11" s="20">
        <v>9</v>
      </c>
      <c r="B11" s="65">
        <v>1174.3396226397899</v>
      </c>
      <c r="C11" s="2">
        <v>57.5</v>
      </c>
      <c r="D11" s="2">
        <v>242</v>
      </c>
      <c r="E11" s="20">
        <v>9</v>
      </c>
      <c r="F11" s="65">
        <v>608.80503144564932</v>
      </c>
      <c r="G11" s="65">
        <v>3351.9496855296829</v>
      </c>
      <c r="H11" s="20">
        <v>9</v>
      </c>
      <c r="I11" s="3">
        <v>5.08</v>
      </c>
      <c r="J11" s="1">
        <v>7.06</v>
      </c>
      <c r="K11" s="20">
        <v>9</v>
      </c>
      <c r="M11" s="5"/>
      <c r="N11" s="20">
        <v>9</v>
      </c>
      <c r="V11">
        <v>7</v>
      </c>
      <c r="W11">
        <v>0</v>
      </c>
      <c r="X11">
        <v>271857</v>
      </c>
      <c r="Y11">
        <v>2744</v>
      </c>
      <c r="AA11" t="s">
        <v>49</v>
      </c>
      <c r="AB11" s="20">
        <v>9</v>
      </c>
      <c r="AG11">
        <v>5</v>
      </c>
      <c r="AH11">
        <v>6</v>
      </c>
    </row>
    <row r="12" spans="1:37" ht="14" customHeight="1">
      <c r="A12" s="20">
        <v>10</v>
      </c>
      <c r="B12" s="65">
        <v>1001.6963064306651</v>
      </c>
      <c r="C12" s="2">
        <v>60.3</v>
      </c>
      <c r="D12" s="2">
        <v>521</v>
      </c>
      <c r="E12" s="20">
        <v>10</v>
      </c>
      <c r="F12" s="65">
        <v>544.67852257242669</v>
      </c>
      <c r="G12" s="65">
        <v>2377.674418607302</v>
      </c>
      <c r="H12" s="20">
        <v>10</v>
      </c>
      <c r="I12" s="3"/>
      <c r="K12" s="20">
        <v>10</v>
      </c>
      <c r="M12" s="5"/>
      <c r="N12" s="20">
        <v>10</v>
      </c>
      <c r="V12">
        <v>6</v>
      </c>
      <c r="W12" s="94">
        <v>2</v>
      </c>
      <c r="X12">
        <v>272857</v>
      </c>
      <c r="Y12">
        <v>2751</v>
      </c>
      <c r="AA12" t="s">
        <v>48</v>
      </c>
      <c r="AB12" s="20">
        <v>10</v>
      </c>
      <c r="AC12">
        <v>1</v>
      </c>
      <c r="AD12">
        <v>2</v>
      </c>
    </row>
    <row r="13" spans="1:37" ht="14" customHeight="1">
      <c r="A13" s="20">
        <v>11</v>
      </c>
      <c r="B13" s="65">
        <v>1474.0540540494162</v>
      </c>
      <c r="C13" s="2">
        <v>60.8</v>
      </c>
      <c r="D13" s="2">
        <v>435</v>
      </c>
      <c r="E13" s="20">
        <v>11</v>
      </c>
      <c r="F13" s="65">
        <v>577.94594594412752</v>
      </c>
      <c r="G13" s="65">
        <v>3541.6216216104781</v>
      </c>
      <c r="H13" s="20">
        <v>11</v>
      </c>
      <c r="I13" s="3">
        <v>4.97</v>
      </c>
      <c r="J13" s="1">
        <v>7.04</v>
      </c>
      <c r="K13" s="20">
        <v>11</v>
      </c>
      <c r="M13" s="5"/>
      <c r="N13" s="20">
        <v>11</v>
      </c>
      <c r="V13">
        <v>9</v>
      </c>
      <c r="W13" s="94">
        <v>1</v>
      </c>
      <c r="X13">
        <v>274357</v>
      </c>
      <c r="Y13">
        <v>2762</v>
      </c>
      <c r="AA13" t="s">
        <v>47</v>
      </c>
      <c r="AB13" s="20">
        <v>11</v>
      </c>
      <c r="AI13">
        <v>7</v>
      </c>
    </row>
    <row r="14" spans="1:37" ht="14" customHeight="1">
      <c r="A14" s="20">
        <v>12</v>
      </c>
      <c r="B14" s="65">
        <v>1022.2222222251605</v>
      </c>
      <c r="C14" s="2">
        <v>60.5</v>
      </c>
      <c r="D14" s="2">
        <v>342</v>
      </c>
      <c r="E14" s="20">
        <v>12</v>
      </c>
      <c r="F14" s="65">
        <v>574.81481481646711</v>
      </c>
      <c r="G14" s="65">
        <v>2956.0493827245464</v>
      </c>
      <c r="H14" s="20">
        <v>12</v>
      </c>
      <c r="I14" s="3">
        <v>4.88</v>
      </c>
      <c r="J14" s="1">
        <v>7.11</v>
      </c>
      <c r="K14" s="20">
        <v>12</v>
      </c>
      <c r="M14" s="5">
        <f>AVERAGE(0.79,0.88,0.72)</f>
        <v>0.79666666666666652</v>
      </c>
      <c r="N14" s="20">
        <v>12</v>
      </c>
      <c r="O14" s="6">
        <f>AVERAGE(1750,1775,1775)</f>
        <v>1766.6666666666667</v>
      </c>
      <c r="Q14" s="6">
        <f>AVERAGE(925,1050,1000)</f>
        <v>991.66666666666663</v>
      </c>
      <c r="R14" s="6">
        <f>AVERAGE(5225,5212.5,5100)</f>
        <v>5179.166666666667</v>
      </c>
      <c r="S14" s="6">
        <f>AVERAGE(2675,2550,2725)</f>
        <v>2650</v>
      </c>
      <c r="T14" s="6">
        <f>AVERAGE(2125,2250,1950)</f>
        <v>2108.3333333333335</v>
      </c>
      <c r="V14">
        <v>11</v>
      </c>
      <c r="W14" s="94">
        <v>7</v>
      </c>
      <c r="X14">
        <v>275457</v>
      </c>
      <c r="Y14">
        <v>2771</v>
      </c>
      <c r="AB14" s="20">
        <v>12</v>
      </c>
    </row>
    <row r="15" spans="1:37" ht="14" customHeight="1">
      <c r="A15" s="20">
        <v>13</v>
      </c>
      <c r="B15" s="65">
        <v>1385.6</v>
      </c>
      <c r="C15" s="2">
        <v>59.8</v>
      </c>
      <c r="D15" s="2">
        <v>487</v>
      </c>
      <c r="E15" s="20">
        <v>13</v>
      </c>
      <c r="F15" s="65">
        <v>535.4666666666667</v>
      </c>
      <c r="G15" s="65">
        <v>3224.5333333333333</v>
      </c>
      <c r="H15" s="20">
        <v>13</v>
      </c>
      <c r="I15" s="3"/>
      <c r="K15" s="20">
        <v>13</v>
      </c>
      <c r="M15" s="4"/>
      <c r="N15" s="20">
        <v>13</v>
      </c>
      <c r="V15">
        <v>7</v>
      </c>
      <c r="W15" s="94">
        <v>1</v>
      </c>
      <c r="X15">
        <v>276757</v>
      </c>
      <c r="Y15">
        <v>2780</v>
      </c>
      <c r="AA15" t="s">
        <v>46</v>
      </c>
      <c r="AB15" s="20">
        <v>13</v>
      </c>
      <c r="AJ15">
        <v>8</v>
      </c>
    </row>
    <row r="16" spans="1:37" ht="14" customHeight="1">
      <c r="A16" s="20">
        <v>14</v>
      </c>
      <c r="B16" s="65">
        <v>600.41350792373805</v>
      </c>
      <c r="C16" s="2">
        <v>59.5</v>
      </c>
      <c r="D16" s="2">
        <v>539</v>
      </c>
      <c r="E16" s="20">
        <v>14</v>
      </c>
      <c r="F16" s="65">
        <v>538.88352859932183</v>
      </c>
      <c r="G16" s="65">
        <v>1848.8766367965686</v>
      </c>
      <c r="H16" s="20">
        <v>14</v>
      </c>
      <c r="I16" s="3"/>
      <c r="K16" s="20">
        <v>14</v>
      </c>
      <c r="M16" s="4"/>
      <c r="N16" s="20">
        <v>14</v>
      </c>
      <c r="V16">
        <v>5</v>
      </c>
      <c r="W16" s="94">
        <v>13</v>
      </c>
      <c r="X16">
        <v>277357</v>
      </c>
      <c r="Y16">
        <v>2785</v>
      </c>
      <c r="AB16" s="20">
        <v>14</v>
      </c>
    </row>
    <row r="17" spans="1:37" ht="14" customHeight="1">
      <c r="A17" s="20">
        <v>15</v>
      </c>
      <c r="B17" s="65">
        <v>923.54430379669066</v>
      </c>
      <c r="C17" s="2">
        <v>58.9</v>
      </c>
      <c r="D17" s="2">
        <v>275</v>
      </c>
      <c r="E17" s="20">
        <v>15</v>
      </c>
      <c r="F17" s="65">
        <v>618.87884267578988</v>
      </c>
      <c r="G17" s="65">
        <v>2926.8716094007905</v>
      </c>
      <c r="H17" s="20">
        <v>15</v>
      </c>
      <c r="I17" s="3"/>
      <c r="K17" s="20">
        <v>15</v>
      </c>
      <c r="M17" s="4"/>
      <c r="N17" s="20">
        <v>15</v>
      </c>
      <c r="V17">
        <v>8</v>
      </c>
      <c r="W17">
        <v>0</v>
      </c>
      <c r="X17">
        <v>278457</v>
      </c>
      <c r="Y17">
        <v>2795</v>
      </c>
      <c r="AA17" t="s">
        <v>45</v>
      </c>
      <c r="AB17" s="20">
        <v>15</v>
      </c>
      <c r="AD17">
        <v>2</v>
      </c>
      <c r="AJ17">
        <v>8</v>
      </c>
    </row>
    <row r="18" spans="1:37" ht="14" customHeight="1">
      <c r="A18" s="20">
        <v>16</v>
      </c>
      <c r="B18" s="65">
        <v>996.83544304421764</v>
      </c>
      <c r="C18" s="2">
        <v>58.4</v>
      </c>
      <c r="D18" s="2">
        <v>306</v>
      </c>
      <c r="E18" s="20">
        <v>16</v>
      </c>
      <c r="F18" s="65">
        <v>502.4050632942857</v>
      </c>
      <c r="G18" s="65">
        <v>2587.2151898896209</v>
      </c>
      <c r="H18" s="20">
        <v>16</v>
      </c>
      <c r="I18" s="3">
        <v>5.16</v>
      </c>
      <c r="J18" s="1">
        <v>7.09</v>
      </c>
      <c r="K18" s="20">
        <v>16</v>
      </c>
      <c r="M18" s="4"/>
      <c r="N18" s="20">
        <v>16</v>
      </c>
      <c r="V18">
        <v>7</v>
      </c>
      <c r="W18">
        <v>0</v>
      </c>
      <c r="X18">
        <v>279357</v>
      </c>
      <c r="Y18">
        <v>2802</v>
      </c>
      <c r="AA18" t="s">
        <v>44</v>
      </c>
      <c r="AB18" s="20">
        <v>16</v>
      </c>
      <c r="AJ18">
        <v>8</v>
      </c>
      <c r="AK18">
        <v>9</v>
      </c>
    </row>
    <row r="19" spans="1:37" ht="14" customHeight="1">
      <c r="A19" s="20">
        <v>17</v>
      </c>
      <c r="B19" s="65">
        <v>1064.5272206278869</v>
      </c>
      <c r="C19" s="2">
        <v>58</v>
      </c>
      <c r="D19" s="2">
        <v>399</v>
      </c>
      <c r="E19" s="20">
        <v>17</v>
      </c>
      <c r="F19" s="65">
        <v>617.87965615901578</v>
      </c>
      <c r="G19" s="65">
        <v>2586.0171919710392</v>
      </c>
      <c r="H19" s="20">
        <v>17</v>
      </c>
      <c r="I19" s="3">
        <v>5.0999999999999996</v>
      </c>
      <c r="J19" s="1">
        <v>7.1</v>
      </c>
      <c r="K19" s="20">
        <v>17</v>
      </c>
      <c r="M19" s="4"/>
      <c r="N19" s="20">
        <v>17</v>
      </c>
      <c r="V19">
        <v>7</v>
      </c>
      <c r="W19" s="94">
        <v>1</v>
      </c>
      <c r="X19">
        <v>280357</v>
      </c>
      <c r="Y19">
        <v>2809</v>
      </c>
      <c r="AB19" s="20">
        <v>17</v>
      </c>
    </row>
    <row r="20" spans="1:37" ht="14" customHeight="1">
      <c r="A20" s="20">
        <v>18</v>
      </c>
      <c r="B20" s="65">
        <v>994.26284189212549</v>
      </c>
      <c r="C20" s="2">
        <v>58.3</v>
      </c>
      <c r="D20" s="2">
        <v>465</v>
      </c>
      <c r="E20" s="20">
        <v>18</v>
      </c>
      <c r="F20" s="65">
        <v>652.27484989831225</v>
      </c>
      <c r="G20" s="65">
        <v>2872.3148765772512</v>
      </c>
      <c r="H20" s="20">
        <v>18</v>
      </c>
      <c r="I20" s="3">
        <v>5.2</v>
      </c>
      <c r="J20" s="1">
        <v>7.16</v>
      </c>
      <c r="K20" s="20">
        <v>18</v>
      </c>
      <c r="M20" s="5">
        <f>AVERAGE(0.71,0.78,0.71)</f>
        <v>0.73333333333333339</v>
      </c>
      <c r="N20" s="20">
        <v>18</v>
      </c>
      <c r="O20" s="6">
        <f>AVERAGE(2200,2250,2225)</f>
        <v>2225</v>
      </c>
      <c r="Q20" s="6">
        <f>AVERAGE(1475,1500,1450)</f>
        <v>1475</v>
      </c>
      <c r="R20" s="6">
        <f>AVERAGE(5125,5225,5100)</f>
        <v>5150</v>
      </c>
      <c r="S20" s="6">
        <f>AVERAGE(2775,2675,2750)</f>
        <v>2733.3333333333335</v>
      </c>
      <c r="T20" s="6">
        <f>AVERAGE(1975,2075,1950)</f>
        <v>2000</v>
      </c>
      <c r="V20">
        <v>8</v>
      </c>
      <c r="W20">
        <v>0</v>
      </c>
      <c r="X20">
        <v>281457</v>
      </c>
      <c r="Y20">
        <v>2818</v>
      </c>
      <c r="AA20" t="s">
        <v>43</v>
      </c>
      <c r="AB20" s="20">
        <v>18</v>
      </c>
      <c r="AH20">
        <v>6</v>
      </c>
    </row>
    <row r="21" spans="1:37" ht="14" customHeight="1">
      <c r="A21" s="20">
        <v>19</v>
      </c>
      <c r="B21" s="65">
        <v>1238.2417582419562</v>
      </c>
      <c r="C21" s="2">
        <v>57.7</v>
      </c>
      <c r="D21" s="2">
        <v>368</v>
      </c>
      <c r="E21" s="20">
        <v>19</v>
      </c>
      <c r="F21" s="65">
        <v>568.68131868140961</v>
      </c>
      <c r="G21" s="65">
        <v>2876.0439560444161</v>
      </c>
      <c r="H21" s="20">
        <v>19</v>
      </c>
      <c r="I21" s="3">
        <v>5.2</v>
      </c>
      <c r="J21" s="1">
        <v>7.14</v>
      </c>
      <c r="K21" s="20">
        <v>19</v>
      </c>
      <c r="M21" s="4"/>
      <c r="N21" s="20">
        <v>19</v>
      </c>
      <c r="V21">
        <v>8</v>
      </c>
      <c r="W21">
        <v>0</v>
      </c>
      <c r="X21">
        <v>282757</v>
      </c>
      <c r="Y21">
        <v>2827</v>
      </c>
      <c r="AA21" t="s">
        <v>57</v>
      </c>
      <c r="AB21" s="20">
        <v>19</v>
      </c>
      <c r="AE21">
        <v>3</v>
      </c>
    </row>
    <row r="22" spans="1:37" ht="14" customHeight="1">
      <c r="A22" s="20">
        <v>20</v>
      </c>
      <c r="B22" s="65">
        <v>935.48936170444483</v>
      </c>
      <c r="C22" s="2">
        <v>57.8</v>
      </c>
      <c r="D22" s="2">
        <v>297</v>
      </c>
      <c r="E22" s="20">
        <v>20</v>
      </c>
      <c r="F22" s="65">
        <v>555.57446808648251</v>
      </c>
      <c r="G22" s="65">
        <v>2741.1063829855129</v>
      </c>
      <c r="H22" s="20">
        <v>20</v>
      </c>
      <c r="I22" s="3">
        <v>5.16</v>
      </c>
      <c r="J22" s="1">
        <v>7.13</v>
      </c>
      <c r="K22" s="20">
        <v>20</v>
      </c>
      <c r="M22" s="4"/>
      <c r="N22" s="20">
        <v>20</v>
      </c>
      <c r="V22">
        <v>7</v>
      </c>
      <c r="W22">
        <v>0</v>
      </c>
      <c r="X22">
        <v>283657</v>
      </c>
      <c r="Y22">
        <v>2835</v>
      </c>
      <c r="AA22" t="s">
        <v>58</v>
      </c>
      <c r="AB22" s="20">
        <v>20</v>
      </c>
      <c r="AE22">
        <v>3</v>
      </c>
    </row>
    <row r="23" spans="1:37" ht="14" customHeight="1">
      <c r="A23" s="20">
        <v>21</v>
      </c>
      <c r="B23" s="65">
        <v>1123.4851485122617</v>
      </c>
      <c r="C23" s="2">
        <v>57.2</v>
      </c>
      <c r="D23" s="2">
        <v>378</v>
      </c>
      <c r="E23" s="20">
        <v>21</v>
      </c>
      <c r="F23" s="65">
        <v>410.61386138519202</v>
      </c>
      <c r="G23" s="65">
        <v>2776.39603959756</v>
      </c>
      <c r="H23" s="20">
        <v>21</v>
      </c>
      <c r="I23" s="3">
        <v>5.15</v>
      </c>
      <c r="J23" s="1">
        <v>7.11</v>
      </c>
      <c r="K23" s="20">
        <v>21</v>
      </c>
      <c r="M23" s="4"/>
      <c r="N23" s="20">
        <v>21</v>
      </c>
      <c r="V23">
        <v>8</v>
      </c>
      <c r="W23">
        <v>0</v>
      </c>
      <c r="X23">
        <v>284857</v>
      </c>
      <c r="Y23">
        <v>2844</v>
      </c>
      <c r="AA23" s="17" t="s">
        <v>58</v>
      </c>
      <c r="AB23" s="20">
        <v>21</v>
      </c>
      <c r="AC23" s="17"/>
      <c r="AD23" s="17"/>
      <c r="AE23" s="17">
        <v>3</v>
      </c>
      <c r="AF23" s="17"/>
      <c r="AG23" s="17"/>
      <c r="AH23" s="17"/>
      <c r="AI23" s="17"/>
      <c r="AJ23" s="17"/>
      <c r="AK23" s="17"/>
    </row>
    <row r="24" spans="1:37" ht="14" customHeight="1">
      <c r="A24" s="20">
        <v>22</v>
      </c>
      <c r="B24" s="65">
        <v>1153.0434782667057</v>
      </c>
      <c r="C24" s="2">
        <v>56.6</v>
      </c>
      <c r="D24" s="2">
        <v>210</v>
      </c>
      <c r="E24" s="20">
        <v>22</v>
      </c>
      <c r="F24" s="65">
        <v>367.30434782794612</v>
      </c>
      <c r="G24" s="65">
        <v>2529.3913043606285</v>
      </c>
      <c r="H24" s="20">
        <v>22</v>
      </c>
      <c r="I24" s="3">
        <v>5.25</v>
      </c>
      <c r="J24" s="1">
        <v>7.16</v>
      </c>
      <c r="K24" s="20">
        <v>22</v>
      </c>
      <c r="M24" s="4"/>
      <c r="N24" s="20">
        <v>22</v>
      </c>
      <c r="V24">
        <v>7</v>
      </c>
      <c r="W24">
        <v>0</v>
      </c>
      <c r="X24">
        <v>285957</v>
      </c>
      <c r="Y24">
        <v>2851</v>
      </c>
      <c r="AA24" s="17" t="s">
        <v>59</v>
      </c>
      <c r="AB24" s="20">
        <v>22</v>
      </c>
      <c r="AC24" s="17"/>
      <c r="AD24" s="17"/>
      <c r="AE24" s="17">
        <v>3</v>
      </c>
      <c r="AF24" s="17"/>
      <c r="AG24" s="17"/>
      <c r="AH24" s="17"/>
      <c r="AI24" s="17"/>
      <c r="AJ24" s="17"/>
      <c r="AK24" s="17"/>
    </row>
    <row r="25" spans="1:37" ht="14" customHeight="1">
      <c r="A25" s="20">
        <v>23</v>
      </c>
      <c r="B25" s="65">
        <v>1134.5142857095686</v>
      </c>
      <c r="C25" s="2">
        <v>56</v>
      </c>
      <c r="D25" s="2">
        <v>298</v>
      </c>
      <c r="E25" s="20">
        <v>23</v>
      </c>
      <c r="F25" s="65">
        <v>380.57142856984626</v>
      </c>
      <c r="G25" s="65">
        <v>2482.9714285611053</v>
      </c>
      <c r="H25" s="20">
        <v>23</v>
      </c>
      <c r="I25" s="3">
        <v>5.42</v>
      </c>
      <c r="J25" s="1">
        <v>7.12</v>
      </c>
      <c r="K25" s="20">
        <v>23</v>
      </c>
      <c r="M25" s="4"/>
      <c r="N25" s="20">
        <v>23</v>
      </c>
      <c r="V25">
        <v>7</v>
      </c>
      <c r="W25">
        <v>0</v>
      </c>
      <c r="X25">
        <v>287057</v>
      </c>
      <c r="Y25">
        <v>2858</v>
      </c>
      <c r="AA25" t="s">
        <v>60</v>
      </c>
      <c r="AB25" s="20">
        <v>23</v>
      </c>
    </row>
    <row r="26" spans="1:37" ht="14" customHeight="1">
      <c r="A26" s="20">
        <v>24</v>
      </c>
      <c r="B26" s="65">
        <v>1161</v>
      </c>
      <c r="C26" s="2">
        <v>55.5</v>
      </c>
      <c r="D26" s="2">
        <v>214</v>
      </c>
      <c r="E26" s="20">
        <v>24</v>
      </c>
      <c r="F26" s="65">
        <v>374</v>
      </c>
      <c r="G26" s="65">
        <v>2514</v>
      </c>
      <c r="H26" s="20">
        <v>24</v>
      </c>
      <c r="I26" s="3">
        <v>5.29</v>
      </c>
      <c r="J26" s="1">
        <v>7.12</v>
      </c>
      <c r="K26" s="20">
        <v>24</v>
      </c>
      <c r="M26" s="4"/>
      <c r="N26" s="20">
        <v>24</v>
      </c>
      <c r="V26">
        <v>7</v>
      </c>
      <c r="W26">
        <v>0</v>
      </c>
      <c r="X26">
        <v>288257</v>
      </c>
      <c r="Y26">
        <v>2866</v>
      </c>
      <c r="AB26" s="20">
        <v>24</v>
      </c>
    </row>
    <row r="27" spans="1:37" ht="14" customHeight="1">
      <c r="A27" s="20">
        <v>25</v>
      </c>
      <c r="B27" s="65">
        <v>1092</v>
      </c>
      <c r="C27" s="2">
        <v>55.9</v>
      </c>
      <c r="D27" s="2">
        <v>130</v>
      </c>
      <c r="E27" s="20">
        <v>25</v>
      </c>
      <c r="F27" s="65">
        <v>384</v>
      </c>
      <c r="G27" s="65">
        <v>2534</v>
      </c>
      <c r="H27" s="20">
        <v>25</v>
      </c>
      <c r="I27" s="3">
        <v>5.27</v>
      </c>
      <c r="J27" s="1">
        <v>7.18</v>
      </c>
      <c r="K27" s="20">
        <v>25</v>
      </c>
      <c r="M27" s="4"/>
      <c r="N27" s="20">
        <v>25</v>
      </c>
      <c r="V27">
        <v>8</v>
      </c>
      <c r="W27">
        <v>0</v>
      </c>
      <c r="X27">
        <v>289357</v>
      </c>
      <c r="Y27">
        <v>2873</v>
      </c>
      <c r="AA27" t="s">
        <v>61</v>
      </c>
      <c r="AB27" s="20">
        <v>25</v>
      </c>
      <c r="AG27">
        <v>5</v>
      </c>
    </row>
    <row r="28" spans="1:37" ht="14" customHeight="1">
      <c r="A28" s="20">
        <v>26</v>
      </c>
      <c r="B28" s="65">
        <v>1126.6575716227494</v>
      </c>
      <c r="C28" s="2">
        <v>61.1</v>
      </c>
      <c r="D28" s="2">
        <v>164</v>
      </c>
      <c r="E28" s="20">
        <v>26</v>
      </c>
      <c r="F28" s="65">
        <v>389.95907230534579</v>
      </c>
      <c r="G28" s="65">
        <v>2631.4870395617663</v>
      </c>
      <c r="H28" s="20">
        <v>26</v>
      </c>
      <c r="I28" s="3">
        <v>5.12</v>
      </c>
      <c r="J28" s="1">
        <v>7.21</v>
      </c>
      <c r="K28" s="20">
        <v>26</v>
      </c>
      <c r="M28" s="5">
        <f>AVERAGE(0.78,0.74,0.77)</f>
        <v>0.76333333333333331</v>
      </c>
      <c r="N28" s="20">
        <v>26</v>
      </c>
      <c r="O28" s="6">
        <f>AVERAGE(2200,2300,2425)</f>
        <v>2308.3333333333335</v>
      </c>
      <c r="Q28" s="6">
        <f>AVERAGE(1500,1575,1625)</f>
        <v>1566.6666666666667</v>
      </c>
      <c r="R28" s="6">
        <f>AVERAGE(5400,5475,5450)</f>
        <v>5441.666666666667</v>
      </c>
      <c r="S28" s="6">
        <f>AVERAGE(2825,2925,2875)</f>
        <v>2875</v>
      </c>
      <c r="T28" s="6">
        <f>AVERAGE(2200,2175,2200)</f>
        <v>2191.6666666666665</v>
      </c>
      <c r="V28">
        <v>7</v>
      </c>
      <c r="W28">
        <v>0</v>
      </c>
      <c r="X28">
        <v>290557</v>
      </c>
      <c r="Y28">
        <v>2881</v>
      </c>
      <c r="AB28" s="20">
        <v>26</v>
      </c>
    </row>
    <row r="29" spans="1:37" ht="14" customHeight="1">
      <c r="A29" s="20">
        <v>27</v>
      </c>
      <c r="B29" s="65">
        <v>1129.2579986383507</v>
      </c>
      <c r="C29" s="2">
        <v>60.5</v>
      </c>
      <c r="D29" s="2">
        <v>198</v>
      </c>
      <c r="E29" s="20">
        <v>27</v>
      </c>
      <c r="F29" s="65">
        <v>385.24166099381239</v>
      </c>
      <c r="G29" s="65">
        <v>2638.8563648736454</v>
      </c>
      <c r="H29" s="20">
        <v>27</v>
      </c>
      <c r="I29" s="3">
        <v>5.15</v>
      </c>
      <c r="J29" s="1">
        <v>7.2</v>
      </c>
      <c r="K29" s="20">
        <v>27</v>
      </c>
      <c r="M29" s="4"/>
      <c r="N29" s="20">
        <v>27</v>
      </c>
      <c r="V29">
        <v>8</v>
      </c>
      <c r="W29">
        <v>0</v>
      </c>
      <c r="X29">
        <v>291757</v>
      </c>
      <c r="Y29">
        <v>2890</v>
      </c>
      <c r="AA29" t="s">
        <v>62</v>
      </c>
      <c r="AB29" s="20">
        <v>27</v>
      </c>
      <c r="AE29">
        <v>3</v>
      </c>
    </row>
    <row r="30" spans="1:37" ht="14" customHeight="1">
      <c r="A30" s="20">
        <v>28</v>
      </c>
      <c r="B30" s="65">
        <v>1080.7741935483871</v>
      </c>
      <c r="C30" s="2">
        <v>60.2</v>
      </c>
      <c r="D30" s="2">
        <v>272</v>
      </c>
      <c r="E30" s="20">
        <v>28</v>
      </c>
      <c r="F30" s="65">
        <v>400.51612903225805</v>
      </c>
      <c r="G30" s="65">
        <v>2378.322580645161</v>
      </c>
      <c r="H30" s="20">
        <v>28</v>
      </c>
      <c r="I30" s="3">
        <v>5.23</v>
      </c>
      <c r="J30" s="1">
        <v>7.15</v>
      </c>
      <c r="K30" s="20">
        <v>28</v>
      </c>
      <c r="M30" s="4"/>
      <c r="N30" s="20">
        <v>28</v>
      </c>
      <c r="V30">
        <v>7</v>
      </c>
      <c r="W30">
        <v>0</v>
      </c>
      <c r="X30">
        <v>292857</v>
      </c>
      <c r="Y30">
        <v>2897</v>
      </c>
      <c r="AA30" t="s">
        <v>63</v>
      </c>
      <c r="AB30" s="20">
        <v>28</v>
      </c>
      <c r="AE30">
        <v>3</v>
      </c>
    </row>
    <row r="31" spans="1:37">
      <c r="A31" s="20">
        <v>29</v>
      </c>
      <c r="B31" s="65">
        <v>1162.5600000027068</v>
      </c>
      <c r="C31" s="2">
        <v>60.9</v>
      </c>
      <c r="D31" s="2">
        <v>149</v>
      </c>
      <c r="E31" s="20">
        <v>29</v>
      </c>
      <c r="F31" s="65">
        <v>460.80000000107287</v>
      </c>
      <c r="G31" s="65">
        <v>2598.7200000060507</v>
      </c>
      <c r="H31" s="20">
        <v>29</v>
      </c>
      <c r="I31" s="1">
        <v>5.41</v>
      </c>
      <c r="J31" s="1">
        <v>7.19</v>
      </c>
      <c r="K31" s="20">
        <v>29</v>
      </c>
      <c r="N31" s="20">
        <v>29</v>
      </c>
      <c r="V31" s="84">
        <v>7</v>
      </c>
      <c r="W31" s="84">
        <v>0</v>
      </c>
      <c r="X31" s="85">
        <v>293957</v>
      </c>
      <c r="Y31" s="84">
        <v>2904</v>
      </c>
      <c r="AB31" s="20">
        <v>29</v>
      </c>
    </row>
    <row r="32" spans="1:37">
      <c r="A32" s="20">
        <v>30</v>
      </c>
      <c r="B32" s="65">
        <v>976.35968092804399</v>
      </c>
      <c r="C32" s="2">
        <v>59.5</v>
      </c>
      <c r="D32" s="2">
        <v>265</v>
      </c>
      <c r="E32" s="20">
        <v>30</v>
      </c>
      <c r="F32" s="65">
        <v>409.34010152277352</v>
      </c>
      <c r="G32" s="65">
        <v>2116.66424945577</v>
      </c>
      <c r="H32" s="20">
        <v>30</v>
      </c>
      <c r="I32" s="1">
        <v>5.53</v>
      </c>
      <c r="J32" s="1">
        <v>7.18</v>
      </c>
      <c r="K32" s="20">
        <v>30</v>
      </c>
      <c r="M32" s="5">
        <f>AVERAGE(0.64,0.63,0.64)</f>
        <v>0.63666666666666671</v>
      </c>
      <c r="N32" s="20">
        <v>30</v>
      </c>
      <c r="R32" s="6">
        <f>AVERAGE(5625,5325,5350)</f>
        <v>5433.333333333333</v>
      </c>
      <c r="S32" s="6">
        <f>AVERAGE(3050,3000,2975)</f>
        <v>3008.3333333333335</v>
      </c>
      <c r="T32" s="6">
        <f>AVERAGE(1950,1875,1900)</f>
        <v>1908.3333333333333</v>
      </c>
      <c r="V32" s="84">
        <v>6</v>
      </c>
      <c r="W32" s="84">
        <v>0</v>
      </c>
      <c r="X32" s="85">
        <v>294957</v>
      </c>
      <c r="Y32" s="84">
        <v>2910</v>
      </c>
      <c r="AA32" t="s">
        <v>64</v>
      </c>
      <c r="AB32" s="20">
        <v>30</v>
      </c>
      <c r="AC32">
        <v>1</v>
      </c>
      <c r="AE32">
        <v>3</v>
      </c>
    </row>
    <row r="33" spans="1:21">
      <c r="B33" t="s">
        <v>0</v>
      </c>
      <c r="E33" s="17"/>
      <c r="G33" t="s">
        <v>0</v>
      </c>
      <c r="K33" s="20"/>
      <c r="N33" s="17"/>
    </row>
    <row r="34" spans="1:21" s="7" customFormat="1">
      <c r="A34" s="7" t="s">
        <v>22</v>
      </c>
      <c r="B34" s="8">
        <f>AVERAGE(B3:B33)</f>
        <v>1031.5857910176919</v>
      </c>
      <c r="C34" s="13">
        <f>AVERAGE(C3:C32)</f>
        <v>59.074074074074076</v>
      </c>
      <c r="D34" s="13">
        <f>AVERAGE(D3:D32)</f>
        <v>315.81481481481484</v>
      </c>
      <c r="E34" s="18" t="s">
        <v>22</v>
      </c>
      <c r="F34" s="8">
        <f>AVERAGE(F3:F32)</f>
        <v>492.43378482928819</v>
      </c>
      <c r="G34" s="8">
        <f>AVERAGE(G3:G33)</f>
        <v>2815.4640111734848</v>
      </c>
      <c r="H34" s="8"/>
      <c r="I34" s="14">
        <f>AVERAGE(I3:I32)</f>
        <v>5.2100000000000009</v>
      </c>
      <c r="J34" s="14">
        <f>AVERAGE(J3:J32)</f>
        <v>7.1228571428571437</v>
      </c>
      <c r="K34" s="21"/>
      <c r="M34" s="15">
        <f>AVERAGE(M3:M30)</f>
        <v>0.79999999999999993</v>
      </c>
      <c r="N34" s="18" t="s">
        <v>22</v>
      </c>
      <c r="O34" s="16">
        <f>AVERAGE(O3:O30)</f>
        <v>2284.375</v>
      </c>
      <c r="P34" s="16" t="s">
        <v>0</v>
      </c>
      <c r="Q34" s="16">
        <f>AVERAGE(Q3:Q30)</f>
        <v>1486.9166666666667</v>
      </c>
      <c r="R34" s="16">
        <f>AVERAGE(R3:R30)</f>
        <v>5373.9583333333339</v>
      </c>
      <c r="S34" s="16">
        <f>AVERAGE(S3:S30)</f>
        <v>2770.8333333333335</v>
      </c>
      <c r="T34" s="16">
        <f>AVERAGE(T3:T30)</f>
        <v>2179.1666666666665</v>
      </c>
      <c r="U34" s="16"/>
    </row>
    <row r="35" spans="1:21" s="7" customFormat="1">
      <c r="A35" s="7" t="s">
        <v>23</v>
      </c>
      <c r="B35" s="8">
        <f>STDEV(B3:B33)</f>
        <v>214.45442027527989</v>
      </c>
      <c r="C35" s="13">
        <f>STDEV(C3:C32)</f>
        <v>1.8133251633802876</v>
      </c>
      <c r="D35" s="13">
        <f>STDEV(D3:D32)</f>
        <v>109.02894359439857</v>
      </c>
      <c r="E35" s="18" t="s">
        <v>23</v>
      </c>
      <c r="F35" s="8">
        <f>STDEV(F3:F32)</f>
        <v>99.808997938290233</v>
      </c>
      <c r="G35" s="8">
        <f>STDEV(G3:G33)</f>
        <v>590.84977147908342</v>
      </c>
      <c r="H35" s="8"/>
      <c r="I35" s="14">
        <f>STDEV(I3:I32)</f>
        <v>0.15076471735787519</v>
      </c>
      <c r="J35" s="14">
        <f>STDEV(J3:J32)</f>
        <v>5.6315438126934479E-2</v>
      </c>
      <c r="K35" s="21"/>
      <c r="M35" s="15">
        <f>STDEV(M3:M30)</f>
        <v>5.36449231314369E-2</v>
      </c>
      <c r="N35" s="18" t="s">
        <v>23</v>
      </c>
      <c r="O35" s="16">
        <f>STDEV(O3:O30)</f>
        <v>438.96415054416906</v>
      </c>
      <c r="P35" s="16" t="s">
        <v>0</v>
      </c>
      <c r="Q35" s="16">
        <f>STDEV(Q3:Q30)</f>
        <v>380.55207216572785</v>
      </c>
      <c r="R35" s="16">
        <f>STDEV(R3:R30)</f>
        <v>268.27585219391318</v>
      </c>
      <c r="S35" s="16">
        <f>STDEV(S3:S30)</f>
        <v>99.652172859178307</v>
      </c>
      <c r="T35" s="16">
        <f>STDEV(T3:T30)</f>
        <v>176.71121031743237</v>
      </c>
      <c r="U35" s="16"/>
    </row>
  </sheetData>
  <conditionalFormatting sqref="I3:I30">
    <cfRule type="cellIs" dxfId="6" priority="3" operator="equal">
      <formula>0</formula>
    </cfRule>
    <cfRule type="cellIs" dxfId="5" priority="4" operator="lessThan">
      <formula>5</formula>
    </cfRule>
    <cfRule type="cellIs" dxfId="4" priority="5" operator="greaterThan">
      <formula>7.2</formula>
    </cfRule>
  </conditionalFormatting>
  <conditionalFormatting sqref="D6">
    <cfRule type="cellIs" dxfId="3" priority="1" operator="greaterThan">
      <formula>200</formula>
    </cfRule>
  </conditionalFormatting>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8"/>
  <sheetViews>
    <sheetView workbookViewId="0">
      <pane xSplit="2" ySplit="2" topLeftCell="C3" activePane="bottomRight" state="frozen"/>
      <selection pane="topRight" activeCell="C1" sqref="C1"/>
      <selection pane="bottomLeft" activeCell="A3" sqref="A3"/>
      <selection pane="bottomRight" activeCell="X27" sqref="X27"/>
    </sheetView>
  </sheetViews>
  <sheetFormatPr baseColWidth="10" defaultRowHeight="15" x14ac:dyDescent="0"/>
  <cols>
    <col min="1" max="1" width="11.6640625" customWidth="1"/>
    <col min="2" max="2" width="6.33203125" customWidth="1"/>
    <col min="3" max="3" width="10.83203125" style="66"/>
    <col min="4" max="5" width="10.83203125" style="2"/>
    <col min="6" max="6" width="4.6640625" style="2" customWidth="1"/>
    <col min="7" max="8" width="10.83203125" style="65"/>
    <col min="9" max="9" width="5" customWidth="1"/>
    <col min="10" max="10" width="10.6640625" style="3" customWidth="1"/>
    <col min="11" max="11" width="8" style="3" customWidth="1"/>
    <col min="12" max="12" width="4.6640625" style="22" customWidth="1"/>
    <col min="15" max="15" width="5.1640625" customWidth="1"/>
    <col min="16" max="18" width="10.83203125" style="6"/>
    <col min="19" max="21" width="8.6640625" style="6" customWidth="1"/>
    <col min="22" max="22" width="3.6640625" style="6" customWidth="1"/>
    <col min="23" max="24" width="9.83203125" customWidth="1"/>
  </cols>
  <sheetData>
    <row r="1" spans="1:26" s="9" customFormat="1" ht="18">
      <c r="A1" s="9" t="s">
        <v>31</v>
      </c>
      <c r="C1" s="63"/>
      <c r="D1" s="12"/>
      <c r="E1" s="12"/>
      <c r="F1" s="12"/>
      <c r="G1" s="70"/>
      <c r="H1" s="70"/>
      <c r="J1" s="72"/>
      <c r="K1" s="72"/>
      <c r="L1" s="19"/>
      <c r="P1" s="11"/>
      <c r="Q1" s="11"/>
      <c r="R1" s="11"/>
      <c r="S1" s="11"/>
      <c r="T1" s="11"/>
      <c r="U1" s="11"/>
      <c r="V1" s="11"/>
    </row>
    <row r="2" spans="1:26" s="23" customFormat="1" ht="60">
      <c r="A2" s="23" t="s">
        <v>12</v>
      </c>
      <c r="B2" s="24" t="s">
        <v>32</v>
      </c>
      <c r="C2" s="64" t="s">
        <v>28</v>
      </c>
      <c r="D2" s="26" t="s">
        <v>9</v>
      </c>
      <c r="E2" s="26" t="s">
        <v>10</v>
      </c>
      <c r="F2" s="27" t="s">
        <v>24</v>
      </c>
      <c r="G2" s="71" t="s">
        <v>29</v>
      </c>
      <c r="H2" s="71" t="s">
        <v>30</v>
      </c>
      <c r="I2" s="27" t="s">
        <v>24</v>
      </c>
      <c r="J2" s="28" t="s">
        <v>1</v>
      </c>
      <c r="K2" s="28" t="s">
        <v>11</v>
      </c>
      <c r="L2" s="30" t="s">
        <v>24</v>
      </c>
      <c r="M2" s="23" t="s">
        <v>13</v>
      </c>
      <c r="N2" s="31" t="s">
        <v>14</v>
      </c>
      <c r="O2" s="27" t="s">
        <v>24</v>
      </c>
      <c r="P2" s="32" t="s">
        <v>15</v>
      </c>
      <c r="Q2" s="32" t="s">
        <v>16</v>
      </c>
      <c r="R2" s="32" t="s">
        <v>17</v>
      </c>
      <c r="S2" s="32" t="s">
        <v>18</v>
      </c>
      <c r="T2" s="32" t="s">
        <v>19</v>
      </c>
      <c r="U2" s="32" t="s">
        <v>20</v>
      </c>
      <c r="V2" s="32"/>
      <c r="W2" s="23" t="s">
        <v>5</v>
      </c>
      <c r="X2" s="23" t="s">
        <v>6</v>
      </c>
      <c r="Y2" s="23" t="s">
        <v>7</v>
      </c>
      <c r="Z2" s="23" t="s">
        <v>8</v>
      </c>
    </row>
    <row r="3" spans="1:26" ht="14" customHeight="1">
      <c r="A3" t="s">
        <v>65</v>
      </c>
      <c r="B3" s="20">
        <v>1</v>
      </c>
      <c r="C3" s="65">
        <v>580.53388090543365</v>
      </c>
      <c r="D3" s="2">
        <v>58.5</v>
      </c>
      <c r="E3" s="2">
        <v>161</v>
      </c>
      <c r="F3" s="20">
        <v>1</v>
      </c>
      <c r="G3" s="65">
        <v>451.41683778385158</v>
      </c>
      <c r="H3" s="65">
        <v>1244.8459958973899</v>
      </c>
      <c r="I3" s="20">
        <v>1</v>
      </c>
      <c r="J3" s="3">
        <v>5.45</v>
      </c>
      <c r="K3" s="3">
        <v>7.23</v>
      </c>
      <c r="L3" s="20">
        <v>1</v>
      </c>
      <c r="O3" s="20">
        <v>1</v>
      </c>
      <c r="W3">
        <v>4</v>
      </c>
      <c r="X3" s="94">
        <v>6</v>
      </c>
      <c r="Y3">
        <v>295557</v>
      </c>
      <c r="Z3">
        <v>2914</v>
      </c>
    </row>
    <row r="4" spans="1:26" ht="14" customHeight="1">
      <c r="A4" t="s">
        <v>66</v>
      </c>
      <c r="B4" s="20">
        <v>2</v>
      </c>
      <c r="C4" s="65">
        <v>1088.0446927333614</v>
      </c>
      <c r="D4" s="2">
        <v>58.3</v>
      </c>
      <c r="E4" s="2">
        <v>146</v>
      </c>
      <c r="F4" s="20">
        <v>2</v>
      </c>
      <c r="G4" s="65">
        <v>418.32402234480435</v>
      </c>
      <c r="H4" s="65">
        <v>2339.9999999912493</v>
      </c>
      <c r="I4" s="20">
        <v>2</v>
      </c>
      <c r="J4" s="3">
        <v>5.21</v>
      </c>
      <c r="K4" s="3">
        <v>7.19</v>
      </c>
      <c r="L4" s="20">
        <v>2</v>
      </c>
      <c r="N4" s="5">
        <f>AVERAGE(0.81,0.72,0.79)</f>
        <v>0.77333333333333343</v>
      </c>
      <c r="O4" s="20">
        <v>2</v>
      </c>
      <c r="P4" s="6">
        <f>AVERAGE(2925,2875,2950)</f>
        <v>2916.6666666666665</v>
      </c>
      <c r="R4" s="6">
        <f>AVERAGE(2100,2025,1875)</f>
        <v>2000</v>
      </c>
      <c r="S4" s="6">
        <f>AVERAGE(5575,5575,5600)</f>
        <v>5583.333333333333</v>
      </c>
      <c r="T4" s="6">
        <f>AVERAGE(2875,3050,2925)</f>
        <v>2950</v>
      </c>
      <c r="U4" s="6">
        <f>AVERAGE(2325,2200,2925)</f>
        <v>2483.3333333333335</v>
      </c>
      <c r="W4">
        <v>7</v>
      </c>
      <c r="X4">
        <v>0</v>
      </c>
      <c r="Y4">
        <v>296657</v>
      </c>
      <c r="Z4">
        <v>2921</v>
      </c>
    </row>
    <row r="5" spans="1:26" ht="14" customHeight="1">
      <c r="A5" t="s">
        <v>67</v>
      </c>
      <c r="B5" s="20">
        <v>3</v>
      </c>
      <c r="C5" s="65">
        <v>1255.308641978917</v>
      </c>
      <c r="D5" s="2">
        <v>59.5</v>
      </c>
      <c r="E5" s="2">
        <v>165</v>
      </c>
      <c r="F5" s="20">
        <v>3</v>
      </c>
      <c r="G5" s="65">
        <v>409.87654321105475</v>
      </c>
      <c r="H5" s="65">
        <v>2711.1111111189039</v>
      </c>
      <c r="I5" s="20">
        <v>3</v>
      </c>
      <c r="J5" s="3">
        <v>5.48</v>
      </c>
      <c r="K5" s="3">
        <v>7.2</v>
      </c>
      <c r="L5" s="20">
        <v>3</v>
      </c>
      <c r="O5" s="20">
        <v>3</v>
      </c>
      <c r="P5"/>
      <c r="Q5"/>
      <c r="R5"/>
      <c r="S5"/>
      <c r="T5"/>
      <c r="U5"/>
      <c r="W5">
        <v>8</v>
      </c>
      <c r="X5">
        <v>0</v>
      </c>
      <c r="Y5">
        <v>297957</v>
      </c>
      <c r="Z5">
        <v>2929</v>
      </c>
    </row>
    <row r="6" spans="1:26" ht="14" customHeight="1">
      <c r="A6" t="s">
        <v>66</v>
      </c>
      <c r="B6" s="20">
        <v>4</v>
      </c>
      <c r="C6" s="65">
        <v>1168</v>
      </c>
      <c r="D6" s="2">
        <v>60.5</v>
      </c>
      <c r="E6" s="2">
        <v>243</v>
      </c>
      <c r="F6" s="20">
        <v>4</v>
      </c>
      <c r="G6" s="65">
        <v>436.26666666666665</v>
      </c>
      <c r="H6" s="65">
        <v>2422.4</v>
      </c>
      <c r="I6" s="20">
        <v>4</v>
      </c>
      <c r="J6" s="3">
        <v>5.45</v>
      </c>
      <c r="K6" s="3">
        <v>7.18</v>
      </c>
      <c r="L6" s="20">
        <v>4</v>
      </c>
      <c r="O6" s="20">
        <v>4</v>
      </c>
      <c r="P6"/>
      <c r="Q6"/>
      <c r="R6"/>
      <c r="S6"/>
      <c r="T6"/>
      <c r="U6"/>
      <c r="W6">
        <v>7</v>
      </c>
      <c r="X6">
        <v>0</v>
      </c>
      <c r="Y6">
        <v>298957</v>
      </c>
      <c r="Z6">
        <v>2936</v>
      </c>
    </row>
    <row r="7" spans="1:26" ht="14" customHeight="1">
      <c r="A7" t="s">
        <v>66</v>
      </c>
      <c r="B7" s="20">
        <v>5</v>
      </c>
      <c r="C7" s="65">
        <v>1046.6437886045519</v>
      </c>
      <c r="D7" s="2">
        <v>60</v>
      </c>
      <c r="E7" s="2">
        <v>248</v>
      </c>
      <c r="F7" s="20">
        <v>5</v>
      </c>
      <c r="G7" s="65">
        <v>418.0645161281638</v>
      </c>
      <c r="H7" s="65">
        <v>2221.7707618347804</v>
      </c>
      <c r="I7" s="20">
        <v>5</v>
      </c>
      <c r="J7" s="3">
        <v>5.47</v>
      </c>
      <c r="K7" s="3">
        <v>7.13</v>
      </c>
      <c r="L7" s="20">
        <v>5</v>
      </c>
      <c r="O7" s="20">
        <v>5</v>
      </c>
      <c r="P7"/>
      <c r="Q7"/>
      <c r="R7"/>
      <c r="S7"/>
      <c r="T7"/>
      <c r="U7"/>
      <c r="W7">
        <v>7</v>
      </c>
      <c r="X7">
        <v>0</v>
      </c>
      <c r="Y7">
        <v>300057</v>
      </c>
      <c r="Z7">
        <v>2943</v>
      </c>
    </row>
    <row r="8" spans="1:26" ht="14" customHeight="1">
      <c r="B8" s="20">
        <v>6</v>
      </c>
      <c r="C8" s="65">
        <v>1135.4395241265279</v>
      </c>
      <c r="D8" s="2">
        <v>59.3</v>
      </c>
      <c r="E8" s="2">
        <v>299</v>
      </c>
      <c r="F8" s="20">
        <v>6</v>
      </c>
      <c r="G8" s="65">
        <v>408.30138797173549</v>
      </c>
      <c r="H8" s="65">
        <v>2422.2075347041186</v>
      </c>
      <c r="I8" s="20">
        <v>6</v>
      </c>
      <c r="J8" s="3">
        <v>5.53</v>
      </c>
      <c r="K8" s="3">
        <v>7.16</v>
      </c>
      <c r="L8" s="20">
        <v>6</v>
      </c>
      <c r="O8" s="20">
        <v>6</v>
      </c>
      <c r="P8"/>
      <c r="Q8"/>
      <c r="R8"/>
      <c r="S8"/>
      <c r="T8"/>
      <c r="U8"/>
      <c r="W8">
        <v>8</v>
      </c>
      <c r="X8">
        <v>0</v>
      </c>
      <c r="Y8">
        <v>301257</v>
      </c>
      <c r="Z8">
        <v>2951</v>
      </c>
    </row>
    <row r="9" spans="1:26" ht="14" customHeight="1">
      <c r="A9" t="s">
        <v>75</v>
      </c>
      <c r="B9" s="20">
        <v>7</v>
      </c>
      <c r="C9" s="65">
        <v>513</v>
      </c>
      <c r="D9" s="2">
        <v>57.6</v>
      </c>
      <c r="E9" s="2">
        <v>347</v>
      </c>
      <c r="F9" s="20">
        <v>7</v>
      </c>
      <c r="G9" s="65">
        <v>401</v>
      </c>
      <c r="H9" s="65">
        <v>1096</v>
      </c>
      <c r="I9" s="20">
        <v>7</v>
      </c>
      <c r="J9" s="3">
        <v>5.58</v>
      </c>
      <c r="K9" s="3">
        <v>7.14</v>
      </c>
      <c r="L9" s="20">
        <v>7</v>
      </c>
      <c r="N9">
        <v>0.78</v>
      </c>
      <c r="O9" s="20">
        <v>7</v>
      </c>
      <c r="S9" s="6">
        <v>5500</v>
      </c>
      <c r="T9" s="6">
        <v>2900</v>
      </c>
      <c r="U9" s="6">
        <v>2275</v>
      </c>
      <c r="W9">
        <v>4</v>
      </c>
      <c r="X9" s="94">
        <v>5</v>
      </c>
      <c r="Y9">
        <v>301857</v>
      </c>
      <c r="Z9">
        <v>2954</v>
      </c>
    </row>
    <row r="10" spans="1:26" ht="14" customHeight="1">
      <c r="A10" t="s">
        <v>0</v>
      </c>
      <c r="B10" s="20">
        <v>8</v>
      </c>
      <c r="C10" s="4">
        <v>940</v>
      </c>
      <c r="D10" s="2">
        <v>57.7</v>
      </c>
      <c r="E10" s="2">
        <v>321</v>
      </c>
      <c r="F10" s="20">
        <v>8</v>
      </c>
      <c r="G10" s="81">
        <v>464</v>
      </c>
      <c r="H10" s="81">
        <v>1965</v>
      </c>
      <c r="I10" s="20">
        <v>8</v>
      </c>
      <c r="J10" s="3">
        <v>5.58</v>
      </c>
      <c r="K10" s="3">
        <v>7.13</v>
      </c>
      <c r="L10" s="20">
        <v>8</v>
      </c>
      <c r="O10" s="20">
        <v>8</v>
      </c>
      <c r="W10">
        <v>6</v>
      </c>
      <c r="X10">
        <v>0</v>
      </c>
      <c r="Y10">
        <v>302757</v>
      </c>
      <c r="Z10">
        <v>2960</v>
      </c>
    </row>
    <row r="11" spans="1:26" ht="14" customHeight="1">
      <c r="A11" t="s">
        <v>76</v>
      </c>
      <c r="B11" s="20">
        <v>9</v>
      </c>
      <c r="C11" s="4">
        <v>449.36170212543345</v>
      </c>
      <c r="D11" s="2">
        <v>56.2</v>
      </c>
      <c r="E11" s="2">
        <v>265</v>
      </c>
      <c r="F11" s="20">
        <v>9</v>
      </c>
      <c r="G11" s="81">
        <v>460.5957446785693</v>
      </c>
      <c r="H11" s="81">
        <v>924.2553191443576</v>
      </c>
      <c r="I11" s="20">
        <v>9</v>
      </c>
      <c r="J11" s="3">
        <v>5.57</v>
      </c>
      <c r="K11" s="3">
        <v>7.13</v>
      </c>
      <c r="L11" s="20">
        <v>9</v>
      </c>
      <c r="N11">
        <f>AVERAGE(0.83,0.88,0.84)</f>
        <v>0.85</v>
      </c>
      <c r="O11" s="20">
        <v>9</v>
      </c>
      <c r="P11" s="6">
        <f>AVERAGE(4600,4400,4450)</f>
        <v>4483.333333333333</v>
      </c>
      <c r="R11" s="6">
        <f>AVERAGE(3500,3375,3450)</f>
        <v>3441.6666666666665</v>
      </c>
      <c r="S11" s="6">
        <f>AVERAGE(5625,5675,5600)</f>
        <v>5633.333333333333</v>
      </c>
      <c r="T11" s="6">
        <f>AVERAGE(2750,2800,2800)</f>
        <v>2783.3333333333335</v>
      </c>
      <c r="U11" s="6">
        <f>AVERAGE(2425,2325,2350)</f>
        <v>2366.6666666666665</v>
      </c>
      <c r="W11">
        <v>3</v>
      </c>
      <c r="X11" s="94">
        <v>4</v>
      </c>
      <c r="Y11">
        <v>303257</v>
      </c>
      <c r="Z11">
        <v>2963</v>
      </c>
    </row>
    <row r="12" spans="1:26" ht="14" customHeight="1">
      <c r="A12" s="87" t="s">
        <v>66</v>
      </c>
      <c r="B12" s="20">
        <v>10</v>
      </c>
      <c r="C12" s="4">
        <v>936.84355617206847</v>
      </c>
      <c r="D12" s="1">
        <v>57.7</v>
      </c>
      <c r="E12" s="2">
        <v>288</v>
      </c>
      <c r="F12" s="20">
        <v>10</v>
      </c>
      <c r="G12" s="81">
        <v>483.30806340656494</v>
      </c>
      <c r="H12" s="81">
        <v>1972.9290144810086</v>
      </c>
      <c r="I12" s="20">
        <v>10</v>
      </c>
      <c r="J12" s="3">
        <v>5.55</v>
      </c>
      <c r="K12" s="3">
        <v>7.13</v>
      </c>
      <c r="L12" s="20">
        <v>10</v>
      </c>
      <c r="O12" s="20">
        <v>10</v>
      </c>
      <c r="W12">
        <v>7</v>
      </c>
      <c r="X12">
        <v>0</v>
      </c>
      <c r="Y12">
        <v>304157</v>
      </c>
      <c r="Z12">
        <v>2969</v>
      </c>
    </row>
    <row r="13" spans="1:26" ht="14" customHeight="1">
      <c r="A13" s="83"/>
      <c r="B13" s="20">
        <v>11</v>
      </c>
      <c r="C13" s="4">
        <v>955.22862822752131</v>
      </c>
      <c r="D13" s="1"/>
      <c r="F13" s="20">
        <v>11</v>
      </c>
      <c r="G13" s="81">
        <v>581.15308150905139</v>
      </c>
      <c r="H13" s="81">
        <v>2067.9125248441942</v>
      </c>
      <c r="I13" s="20">
        <v>11</v>
      </c>
      <c r="L13" s="20">
        <v>11</v>
      </c>
      <c r="O13" s="20">
        <v>11</v>
      </c>
      <c r="W13">
        <v>7</v>
      </c>
      <c r="X13">
        <v>0</v>
      </c>
      <c r="Y13">
        <v>305157</v>
      </c>
      <c r="Z13">
        <v>2976</v>
      </c>
    </row>
    <row r="14" spans="1:26" ht="14" customHeight="1">
      <c r="A14" s="83"/>
      <c r="B14" s="20">
        <v>12</v>
      </c>
      <c r="C14" s="4">
        <v>1102.9196141495613</v>
      </c>
      <c r="D14" s="1">
        <v>58.9</v>
      </c>
      <c r="E14" s="2">
        <v>335</v>
      </c>
      <c r="F14" s="20">
        <v>12</v>
      </c>
      <c r="G14" s="81">
        <v>490.80385852163522</v>
      </c>
      <c r="H14" s="81">
        <v>2378.0836012897344</v>
      </c>
      <c r="I14" s="20">
        <v>12</v>
      </c>
      <c r="L14" s="20">
        <v>12</v>
      </c>
      <c r="O14" s="20">
        <v>12</v>
      </c>
      <c r="W14">
        <v>8</v>
      </c>
      <c r="X14">
        <v>0</v>
      </c>
      <c r="Y14">
        <v>306357</v>
      </c>
      <c r="Z14">
        <v>2983</v>
      </c>
    </row>
    <row r="15" spans="1:26" ht="14" customHeight="1">
      <c r="A15" s="83" t="s">
        <v>77</v>
      </c>
      <c r="B15" s="20">
        <v>13</v>
      </c>
      <c r="C15" s="4">
        <v>1123.5555555555557</v>
      </c>
      <c r="D15" s="1">
        <v>59.1</v>
      </c>
      <c r="E15" s="2">
        <v>338</v>
      </c>
      <c r="F15" s="20">
        <v>13</v>
      </c>
      <c r="G15" s="81">
        <v>354.37037037037038</v>
      </c>
      <c r="H15" s="81">
        <v>2403.5555555555557</v>
      </c>
      <c r="I15" s="20">
        <v>13</v>
      </c>
      <c r="J15" s="3">
        <v>5.63</v>
      </c>
      <c r="K15" s="3">
        <v>7.08</v>
      </c>
      <c r="L15" s="20">
        <v>13</v>
      </c>
      <c r="O15" s="20">
        <v>13</v>
      </c>
      <c r="W15" s="84">
        <v>7</v>
      </c>
      <c r="X15" s="84">
        <v>0</v>
      </c>
      <c r="Y15" s="85">
        <v>307357</v>
      </c>
      <c r="Z15" s="84">
        <v>2990</v>
      </c>
    </row>
    <row r="16" spans="1:26" ht="14" customHeight="1">
      <c r="A16" s="83"/>
      <c r="B16" s="20">
        <v>14</v>
      </c>
      <c r="C16" s="85">
        <v>1009.32</v>
      </c>
      <c r="D16" s="2">
        <v>63.4</v>
      </c>
      <c r="E16" s="2">
        <v>197</v>
      </c>
      <c r="F16" s="20">
        <v>14</v>
      </c>
      <c r="G16" s="65">
        <v>499.9</v>
      </c>
      <c r="H16" s="65">
        <v>2801</v>
      </c>
      <c r="I16" s="20">
        <v>14</v>
      </c>
      <c r="J16" s="3">
        <v>5.58</v>
      </c>
      <c r="K16" s="3">
        <v>7.22</v>
      </c>
      <c r="L16" s="20">
        <v>14</v>
      </c>
      <c r="N16" s="5">
        <f>AVERAGE(0.62,0.68,0.57)</f>
        <v>0.62333333333333341</v>
      </c>
      <c r="O16" s="20">
        <v>14</v>
      </c>
      <c r="P16" s="6">
        <f>AVERAGE(4025,4275)</f>
        <v>4150</v>
      </c>
      <c r="R16" s="6">
        <f>AVERAGE(3200,3375)</f>
        <v>3287.5</v>
      </c>
      <c r="S16" s="6">
        <f>AVERAGE(5175,5325,5150)</f>
        <v>5216.666666666667</v>
      </c>
      <c r="T16" s="6">
        <f>AVERAGE(3050,3000,3050)</f>
        <v>3033.3333333333335</v>
      </c>
      <c r="U16" s="6">
        <f>AVERAGE(1900,2025,1750)</f>
        <v>1891.6666666666667</v>
      </c>
      <c r="W16" s="84">
        <v>8</v>
      </c>
      <c r="X16" s="84">
        <v>0</v>
      </c>
      <c r="Y16" s="85">
        <v>308557</v>
      </c>
      <c r="Z16" s="84">
        <v>2998</v>
      </c>
    </row>
    <row r="17" spans="1:26" ht="14" customHeight="1">
      <c r="A17" s="87" t="s">
        <v>0</v>
      </c>
      <c r="B17" s="20">
        <v>15</v>
      </c>
      <c r="C17" s="85">
        <v>809.30623686081071</v>
      </c>
      <c r="D17" s="2">
        <v>63.7</v>
      </c>
      <c r="E17" s="2">
        <v>154</v>
      </c>
      <c r="F17" s="20">
        <v>15</v>
      </c>
      <c r="G17" s="65">
        <v>500.5</v>
      </c>
      <c r="H17" s="65">
        <v>2956</v>
      </c>
      <c r="I17" s="20">
        <v>15</v>
      </c>
      <c r="J17" s="3">
        <v>5.45</v>
      </c>
      <c r="K17" s="3">
        <v>7.26</v>
      </c>
      <c r="L17" s="20">
        <v>15</v>
      </c>
      <c r="O17" s="20">
        <v>15</v>
      </c>
      <c r="W17" s="84">
        <v>7</v>
      </c>
      <c r="X17" s="84">
        <v>0</v>
      </c>
      <c r="Y17" s="85">
        <v>309357</v>
      </c>
      <c r="Z17" s="84">
        <v>3007</v>
      </c>
    </row>
    <row r="18" spans="1:26" ht="14" customHeight="1">
      <c r="B18" s="20">
        <v>16</v>
      </c>
      <c r="C18" s="85">
        <v>717.47368420876796</v>
      </c>
      <c r="D18" s="1">
        <v>62.9</v>
      </c>
      <c r="E18" s="1">
        <v>244</v>
      </c>
      <c r="F18" s="20">
        <v>16</v>
      </c>
      <c r="G18" s="65">
        <v>512.33684210400747</v>
      </c>
      <c r="H18" s="65">
        <v>2723.3684210459569</v>
      </c>
      <c r="I18" s="20">
        <v>16</v>
      </c>
      <c r="J18" s="3">
        <v>5.52</v>
      </c>
      <c r="K18" s="3">
        <v>7.29</v>
      </c>
      <c r="L18" s="20">
        <v>16</v>
      </c>
      <c r="O18" s="20">
        <v>16</v>
      </c>
      <c r="W18" s="84">
        <v>7</v>
      </c>
      <c r="X18" s="84">
        <v>0</v>
      </c>
      <c r="Y18" s="85">
        <v>310057</v>
      </c>
      <c r="Z18" s="84">
        <v>3015</v>
      </c>
    </row>
    <row r="19" spans="1:26" ht="14" customHeight="1">
      <c r="B19" s="20">
        <v>17</v>
      </c>
      <c r="C19" s="85">
        <v>556.90607735012588</v>
      </c>
      <c r="D19" s="1">
        <v>62.4</v>
      </c>
      <c r="E19" s="1">
        <v>169</v>
      </c>
      <c r="F19" s="20">
        <v>17</v>
      </c>
      <c r="G19" s="65">
        <v>401.76795580259085</v>
      </c>
      <c r="H19" s="65">
        <v>2057.5690607810902</v>
      </c>
      <c r="I19" s="20">
        <v>17</v>
      </c>
      <c r="J19" s="3">
        <v>5.31</v>
      </c>
      <c r="K19" s="3">
        <v>7.29</v>
      </c>
      <c r="L19" s="20">
        <v>17</v>
      </c>
      <c r="O19" s="20">
        <v>17</v>
      </c>
      <c r="W19" s="84">
        <v>6</v>
      </c>
      <c r="X19" s="84">
        <v>0</v>
      </c>
      <c r="Y19" s="85">
        <v>310657</v>
      </c>
      <c r="Z19" s="84">
        <v>3021</v>
      </c>
    </row>
    <row r="20" spans="1:26" ht="14" customHeight="1">
      <c r="B20" s="20">
        <v>18</v>
      </c>
      <c r="C20" s="85">
        <v>778.1121751034666</v>
      </c>
      <c r="D20" s="1">
        <v>61.4</v>
      </c>
      <c r="E20" s="1">
        <v>195</v>
      </c>
      <c r="F20" s="20">
        <v>18</v>
      </c>
      <c r="G20" s="65">
        <v>528.91928864628039</v>
      </c>
      <c r="H20" s="65">
        <v>2544.1313269522207</v>
      </c>
      <c r="I20" s="20">
        <v>18</v>
      </c>
      <c r="L20" s="20">
        <v>18</v>
      </c>
      <c r="O20" s="20">
        <v>18</v>
      </c>
      <c r="W20" s="84">
        <v>8</v>
      </c>
      <c r="X20" s="84">
        <v>0</v>
      </c>
      <c r="Y20" s="85">
        <v>311457</v>
      </c>
      <c r="Z20" s="84">
        <v>3029</v>
      </c>
    </row>
    <row r="21" spans="1:26" ht="14" customHeight="1">
      <c r="B21" s="20">
        <v>19</v>
      </c>
      <c r="C21" s="85">
        <v>1061.3706293714934</v>
      </c>
      <c r="D21" s="1">
        <v>60.2</v>
      </c>
      <c r="E21" s="1">
        <v>187</v>
      </c>
      <c r="F21" s="20">
        <v>19</v>
      </c>
      <c r="G21" s="65">
        <v>408.83916083949367</v>
      </c>
      <c r="H21" s="65">
        <v>2367.4405594424866</v>
      </c>
      <c r="I21" s="20">
        <v>19</v>
      </c>
      <c r="L21" s="20">
        <v>19</v>
      </c>
      <c r="O21" s="20">
        <v>19</v>
      </c>
      <c r="W21" s="84">
        <v>6</v>
      </c>
      <c r="X21" s="84">
        <v>0</v>
      </c>
      <c r="Y21" s="85">
        <v>312457</v>
      </c>
      <c r="Z21" s="84">
        <v>3036</v>
      </c>
    </row>
    <row r="22" spans="1:26" ht="14" customHeight="1">
      <c r="A22" t="s">
        <v>78</v>
      </c>
      <c r="B22" s="20">
        <v>20</v>
      </c>
      <c r="C22" s="85">
        <v>1099.9148936115726</v>
      </c>
      <c r="D22" s="1">
        <v>60.2</v>
      </c>
      <c r="E22" s="1">
        <v>203</v>
      </c>
      <c r="F22" s="20">
        <v>20</v>
      </c>
      <c r="G22" s="65">
        <v>424.85106382768254</v>
      </c>
      <c r="H22" s="65">
        <v>2417.3617021156842</v>
      </c>
      <c r="I22" s="20">
        <v>20</v>
      </c>
      <c r="J22" s="3">
        <v>5.09</v>
      </c>
      <c r="K22" s="3">
        <v>7.3</v>
      </c>
      <c r="L22" s="20">
        <v>20</v>
      </c>
      <c r="O22" s="20">
        <v>20</v>
      </c>
      <c r="W22" s="84">
        <v>7</v>
      </c>
      <c r="X22" s="84">
        <v>0</v>
      </c>
      <c r="Y22" s="85">
        <v>313557</v>
      </c>
      <c r="Z22" s="84">
        <v>3043</v>
      </c>
    </row>
    <row r="23" spans="1:26" ht="14" customHeight="1">
      <c r="B23" s="20">
        <v>21</v>
      </c>
      <c r="C23" s="65">
        <v>1090.29</v>
      </c>
      <c r="D23" s="2">
        <v>61.5</v>
      </c>
      <c r="E23" s="2">
        <v>91</v>
      </c>
      <c r="F23" s="20">
        <v>21</v>
      </c>
      <c r="G23" s="90">
        <v>553.5</v>
      </c>
      <c r="H23" s="65">
        <v>2451</v>
      </c>
      <c r="I23" s="20">
        <v>21</v>
      </c>
      <c r="J23" s="3">
        <v>5.0999999999999996</v>
      </c>
      <c r="K23" s="3">
        <v>7.39</v>
      </c>
      <c r="L23" s="20">
        <v>21</v>
      </c>
      <c r="N23" s="5">
        <f>AVERAGE(0.54,0.48,0.48,0.41)</f>
        <v>0.47749999999999998</v>
      </c>
      <c r="O23" s="20">
        <v>21</v>
      </c>
      <c r="P23" s="6">
        <v>4375</v>
      </c>
      <c r="R23" s="6">
        <v>3150</v>
      </c>
      <c r="S23" s="6">
        <f>AVERAGE(5975,5725,5675,5375)</f>
        <v>5687.5</v>
      </c>
      <c r="T23" s="6">
        <f>AVERAGE(3625,3650,3625,3625)</f>
        <v>3631.25</v>
      </c>
      <c r="U23" s="6">
        <f>AVERAGE(1975,1750,1750,1500)</f>
        <v>1743.75</v>
      </c>
      <c r="W23">
        <v>7</v>
      </c>
      <c r="X23" s="84">
        <v>0</v>
      </c>
      <c r="Y23" s="85">
        <v>314757</v>
      </c>
      <c r="Z23" s="84">
        <v>3050</v>
      </c>
    </row>
    <row r="24" spans="1:26" ht="14" customHeight="1">
      <c r="B24" s="20">
        <v>22</v>
      </c>
      <c r="F24" s="20">
        <v>22</v>
      </c>
      <c r="I24" s="20">
        <v>22</v>
      </c>
      <c r="L24" s="20">
        <v>22</v>
      </c>
      <c r="O24" s="20">
        <v>22</v>
      </c>
      <c r="W24" t="s">
        <v>0</v>
      </c>
    </row>
    <row r="25" spans="1:26" ht="14" customHeight="1">
      <c r="B25" s="20">
        <v>23</v>
      </c>
      <c r="C25" s="65">
        <v>995.26</v>
      </c>
      <c r="D25" s="2">
        <v>60.5</v>
      </c>
      <c r="E25" s="2">
        <v>61</v>
      </c>
      <c r="F25" s="20">
        <v>23</v>
      </c>
      <c r="G25" s="86">
        <v>451</v>
      </c>
      <c r="H25" s="86">
        <v>2138</v>
      </c>
      <c r="I25" s="20">
        <v>23</v>
      </c>
      <c r="J25" s="3">
        <v>5.19</v>
      </c>
      <c r="K25" s="3">
        <v>7.38</v>
      </c>
      <c r="L25" s="20">
        <v>23</v>
      </c>
      <c r="O25" s="20">
        <v>23</v>
      </c>
      <c r="W25">
        <v>13</v>
      </c>
      <c r="X25">
        <v>0</v>
      </c>
      <c r="Y25" s="85">
        <v>316757</v>
      </c>
      <c r="Z25">
        <v>3063</v>
      </c>
    </row>
    <row r="26" spans="1:26" ht="14" customHeight="1">
      <c r="A26" t="s">
        <v>79</v>
      </c>
      <c r="B26" s="20">
        <v>24</v>
      </c>
      <c r="C26" s="88">
        <v>937.07769066644209</v>
      </c>
      <c r="D26" s="1">
        <v>60.3</v>
      </c>
      <c r="E26" s="1">
        <v>105</v>
      </c>
      <c r="F26" s="20">
        <v>24</v>
      </c>
      <c r="G26" s="88">
        <v>426.97077690825836</v>
      </c>
      <c r="H26" s="88">
        <v>2017.8474697154709</v>
      </c>
      <c r="I26" s="20">
        <v>24</v>
      </c>
      <c r="J26" s="3">
        <v>5.0999999999999996</v>
      </c>
      <c r="K26" s="3">
        <v>7.26</v>
      </c>
      <c r="L26" s="20">
        <v>24</v>
      </c>
      <c r="N26" s="5">
        <f>AVERAGE(0.4,0.39,0.48)</f>
        <v>0.42333333333333334</v>
      </c>
      <c r="O26" s="20">
        <v>24</v>
      </c>
      <c r="P26" s="6">
        <f>AVERAGE(5450,5450,5650)</f>
        <v>5516.666666666667</v>
      </c>
      <c r="R26" s="6">
        <f>AVERAGE(4050,4025,4175)</f>
        <v>4083.3333333333335</v>
      </c>
      <c r="S26" s="6">
        <f>AVERAGE(7525,7350,7325)</f>
        <v>7400</v>
      </c>
      <c r="T26" s="6">
        <f>AVERAGE(5150,5125,4850)</f>
        <v>5041.666666666667</v>
      </c>
      <c r="U26" s="6">
        <f>AVERAGE(2075,1975,2350)</f>
        <v>2133.3333333333335</v>
      </c>
      <c r="W26">
        <v>6</v>
      </c>
      <c r="X26">
        <v>0</v>
      </c>
      <c r="Y26" s="85">
        <v>317657</v>
      </c>
      <c r="Z26">
        <v>3069</v>
      </c>
    </row>
    <row r="27" spans="1:26" ht="14" customHeight="1">
      <c r="B27" s="20">
        <v>25</v>
      </c>
      <c r="C27" s="88">
        <v>1060.5870307108241</v>
      </c>
      <c r="D27" s="1">
        <v>59.8</v>
      </c>
      <c r="E27" s="1">
        <v>57</v>
      </c>
      <c r="F27" s="20">
        <v>25</v>
      </c>
      <c r="G27" s="88">
        <v>657.5836177437825</v>
      </c>
      <c r="H27" s="88">
        <v>2296.1365187585589</v>
      </c>
      <c r="I27" s="20">
        <v>25</v>
      </c>
      <c r="J27" s="3">
        <v>5.22</v>
      </c>
      <c r="K27" s="3">
        <v>7.28</v>
      </c>
      <c r="L27" s="20">
        <v>25</v>
      </c>
      <c r="O27" s="20">
        <v>25</v>
      </c>
      <c r="W27">
        <v>7</v>
      </c>
      <c r="X27">
        <v>0</v>
      </c>
      <c r="Y27" s="85">
        <v>318757</v>
      </c>
      <c r="Z27">
        <v>3076</v>
      </c>
    </row>
    <row r="28" spans="1:26" ht="14" customHeight="1">
      <c r="B28" s="20">
        <v>26</v>
      </c>
      <c r="C28" s="88">
        <v>838.82517482585763</v>
      </c>
      <c r="D28" s="1">
        <v>60.4</v>
      </c>
      <c r="E28" s="1">
        <v>20</v>
      </c>
      <c r="F28" s="20">
        <v>26</v>
      </c>
      <c r="G28" s="88">
        <v>637.42657342709231</v>
      </c>
      <c r="H28" s="88">
        <v>1806.5454545469254</v>
      </c>
      <c r="I28" s="20">
        <v>26</v>
      </c>
      <c r="J28" s="3">
        <v>5.31</v>
      </c>
      <c r="K28" s="3">
        <v>7.3</v>
      </c>
      <c r="L28" s="20">
        <v>26</v>
      </c>
      <c r="O28" s="20">
        <v>26</v>
      </c>
      <c r="W28">
        <v>6</v>
      </c>
      <c r="X28">
        <v>0</v>
      </c>
      <c r="Y28" s="85">
        <v>314557</v>
      </c>
      <c r="Z28">
        <v>3082</v>
      </c>
    </row>
    <row r="29" spans="1:26" ht="14" customHeight="1">
      <c r="B29" s="20">
        <v>27</v>
      </c>
      <c r="C29" s="88">
        <v>1022.6526315839601</v>
      </c>
      <c r="D29" s="1">
        <v>59.8</v>
      </c>
      <c r="E29" s="1">
        <v>71</v>
      </c>
      <c r="F29" s="20">
        <v>27</v>
      </c>
      <c r="G29" s="88">
        <v>680.08421052964934</v>
      </c>
      <c r="H29" s="88">
        <v>2186.7789473791399</v>
      </c>
      <c r="I29" s="20">
        <v>27</v>
      </c>
      <c r="J29" s="3">
        <v>5.3</v>
      </c>
      <c r="K29" s="3">
        <v>7.33</v>
      </c>
      <c r="L29" s="20">
        <v>27</v>
      </c>
      <c r="O29" s="20">
        <v>27</v>
      </c>
      <c r="W29" s="84">
        <v>7</v>
      </c>
      <c r="X29" s="84">
        <v>0</v>
      </c>
      <c r="Y29" s="85">
        <v>320657</v>
      </c>
      <c r="Z29" s="84">
        <v>3088</v>
      </c>
    </row>
    <row r="30" spans="1:26" ht="14" customHeight="1">
      <c r="B30" s="20">
        <v>28</v>
      </c>
      <c r="C30" s="88">
        <v>1049.3770930975384</v>
      </c>
      <c r="D30" s="1">
        <v>58.8</v>
      </c>
      <c r="E30" s="1">
        <v>46</v>
      </c>
      <c r="F30" s="20">
        <v>28</v>
      </c>
      <c r="G30" s="88">
        <v>661.6476892140729</v>
      </c>
      <c r="H30" s="88">
        <v>2241.500334888492</v>
      </c>
      <c r="I30" s="20">
        <v>28</v>
      </c>
      <c r="J30" s="3">
        <v>5.16</v>
      </c>
      <c r="K30" s="3">
        <v>7.34</v>
      </c>
      <c r="L30" s="20">
        <v>28</v>
      </c>
      <c r="N30">
        <f>AVERAGE(0.49,0.47,0.39)</f>
        <v>0.45</v>
      </c>
      <c r="O30" s="20">
        <v>28</v>
      </c>
      <c r="P30" s="6">
        <v>5775</v>
      </c>
      <c r="R30" s="6">
        <v>4200</v>
      </c>
      <c r="S30" s="6">
        <f>AVERAGE(6800,7075)</f>
        <v>6937.5</v>
      </c>
      <c r="T30" s="6">
        <f>AVERAGE(4575,4550,4875)</f>
        <v>4666.666666666667</v>
      </c>
      <c r="U30" s="6">
        <f>AVERAGE(2250,2125,1925)</f>
        <v>2100</v>
      </c>
      <c r="W30" s="84">
        <v>7</v>
      </c>
      <c r="X30" s="84">
        <v>0</v>
      </c>
      <c r="Y30" s="85">
        <v>321757</v>
      </c>
      <c r="Z30" s="84">
        <v>3095</v>
      </c>
    </row>
    <row r="31" spans="1:26">
      <c r="B31" s="20">
        <v>29</v>
      </c>
      <c r="C31" s="88">
        <v>924.4221105510062</v>
      </c>
      <c r="D31" s="1">
        <v>59.6</v>
      </c>
      <c r="E31" s="1">
        <v>79</v>
      </c>
      <c r="F31" s="20">
        <v>29</v>
      </c>
      <c r="G31" s="88">
        <v>629.5477386922704</v>
      </c>
      <c r="H31" s="88">
        <v>1978.1909547701084</v>
      </c>
      <c r="I31" s="20">
        <v>29</v>
      </c>
      <c r="J31" s="3">
        <v>5.14</v>
      </c>
      <c r="K31" s="3">
        <v>7.24</v>
      </c>
      <c r="L31" s="20">
        <v>29</v>
      </c>
      <c r="O31" s="20">
        <v>29</v>
      </c>
      <c r="W31" s="84">
        <v>7</v>
      </c>
      <c r="X31" s="84">
        <v>0</v>
      </c>
      <c r="Y31" s="85">
        <v>322757</v>
      </c>
      <c r="Z31" s="84">
        <v>31023</v>
      </c>
    </row>
    <row r="32" spans="1:26">
      <c r="B32" s="20">
        <v>30</v>
      </c>
      <c r="C32" s="88">
        <v>827.42857142857133</v>
      </c>
      <c r="D32" s="1">
        <v>58.9</v>
      </c>
      <c r="E32" s="1">
        <v>98</v>
      </c>
      <c r="F32" s="20">
        <v>30</v>
      </c>
      <c r="G32" s="88">
        <v>561.14285714285711</v>
      </c>
      <c r="H32" s="88">
        <v>1765.7142857142858</v>
      </c>
      <c r="I32" s="20">
        <v>30</v>
      </c>
      <c r="J32" s="3">
        <v>5.1100000000000003</v>
      </c>
      <c r="K32" s="3">
        <v>7.29</v>
      </c>
      <c r="L32" s="20">
        <v>30</v>
      </c>
      <c r="N32">
        <f>AVERAGE(0.42,0.46,0.5)</f>
        <v>0.45999999999999996</v>
      </c>
      <c r="O32" s="20">
        <v>30</v>
      </c>
      <c r="P32" s="6">
        <f>AVERAGE(5800,5975,6075)</f>
        <v>5950</v>
      </c>
      <c r="R32" s="6">
        <f>AVERAGE(4450,4475,4475)</f>
        <v>4466.666666666667</v>
      </c>
      <c r="S32" s="6">
        <f>AVERAGE(7850,7825,8075)</f>
        <v>7916.666666666667</v>
      </c>
      <c r="T32" s="6">
        <f>AVERAGE(5275,5125,5300)</f>
        <v>5233.333333333333</v>
      </c>
      <c r="U32" s="6">
        <f>AVERAGE(2200,2375,2675)</f>
        <v>2416.6666666666665</v>
      </c>
      <c r="W32" s="84">
        <v>5</v>
      </c>
      <c r="X32" s="84">
        <v>0</v>
      </c>
      <c r="Y32" s="85">
        <v>323457</v>
      </c>
      <c r="Z32" s="84">
        <v>3106</v>
      </c>
    </row>
    <row r="33" spans="2:26">
      <c r="B33" s="20">
        <v>31</v>
      </c>
      <c r="C33" s="89">
        <v>880</v>
      </c>
      <c r="D33" s="1">
        <v>58.5</v>
      </c>
      <c r="E33" s="1">
        <v>60</v>
      </c>
      <c r="F33" s="17">
        <v>31</v>
      </c>
      <c r="G33" s="88">
        <v>653</v>
      </c>
      <c r="H33" s="88">
        <v>1881</v>
      </c>
      <c r="I33" s="20">
        <v>31</v>
      </c>
      <c r="J33" s="3">
        <v>5.24</v>
      </c>
      <c r="K33" s="3">
        <v>7.23</v>
      </c>
      <c r="L33" s="20">
        <v>31</v>
      </c>
      <c r="O33" s="17"/>
      <c r="W33" s="84">
        <v>6</v>
      </c>
      <c r="X33" s="84">
        <v>0</v>
      </c>
      <c r="Y33" s="85">
        <v>324357</v>
      </c>
      <c r="Z33" s="84">
        <v>3112</v>
      </c>
    </row>
    <row r="34" spans="2:26">
      <c r="B34" s="20"/>
      <c r="F34" s="17"/>
      <c r="L34" s="20"/>
      <c r="O34" s="17"/>
    </row>
    <row r="35" spans="2:26" s="7" customFormat="1">
      <c r="B35" s="7" t="s">
        <v>22</v>
      </c>
      <c r="C35" s="67">
        <f>AVERAGE(C3:C33)</f>
        <v>931.77345279831229</v>
      </c>
      <c r="D35" s="13">
        <f>AVERAGE(D3:D33)</f>
        <v>59.848275862068959</v>
      </c>
      <c r="E35" s="13">
        <f>AVERAGE(E3:E33)</f>
        <v>179.06896551724137</v>
      </c>
      <c r="F35" s="18" t="s">
        <v>22</v>
      </c>
      <c r="G35" s="67">
        <f>AVERAGE(G3:G32)</f>
        <v>493.56892646450012</v>
      </c>
      <c r="H35" s="67">
        <f>AVERAGE(H3:H33)</f>
        <v>2159.9885484990573</v>
      </c>
      <c r="I35" s="8"/>
      <c r="J35" s="14">
        <f>AVERAGE(J3:J33)</f>
        <v>5.3584615384615386</v>
      </c>
      <c r="K35" s="14">
        <f>AVERAGE(K3:K33)</f>
        <v>7.2346153846153856</v>
      </c>
      <c r="L35" s="21"/>
      <c r="N35" s="15">
        <f>AVERAGE(N4:N30)</f>
        <v>0.62535714285714294</v>
      </c>
      <c r="O35" s="18" t="s">
        <v>22</v>
      </c>
      <c r="P35" s="16">
        <f>AVERAGE(P3:P30)</f>
        <v>4536.1111111111113</v>
      </c>
      <c r="Q35" s="16" t="s">
        <v>0</v>
      </c>
      <c r="R35" s="16">
        <f>AVERAGE(R3:R30)</f>
        <v>3360.4166666666665</v>
      </c>
      <c r="S35" s="16">
        <f>AVERAGE(S3:S30)</f>
        <v>5994.0476190476184</v>
      </c>
      <c r="T35" s="16">
        <f>AVERAGE(T3:T30)</f>
        <v>3572.3214285714289</v>
      </c>
      <c r="U35" s="16">
        <f>AVERAGE(U3:U30)</f>
        <v>2141.9642857142858</v>
      </c>
      <c r="V35" s="16"/>
      <c r="X35"/>
      <c r="Y35"/>
      <c r="Z35"/>
    </row>
    <row r="36" spans="2:26" s="7" customFormat="1">
      <c r="B36" s="7" t="s">
        <v>23</v>
      </c>
      <c r="C36" s="67">
        <f>STDEV(C3:C33)</f>
        <v>203.75958790856654</v>
      </c>
      <c r="D36" s="13">
        <f>STDEV(D3:D33)</f>
        <v>1.768902139273149</v>
      </c>
      <c r="E36" s="13">
        <f>STDEV(E3:E33)</f>
        <v>99.229507072703058</v>
      </c>
      <c r="F36" s="18" t="s">
        <v>23</v>
      </c>
      <c r="G36" s="67">
        <f>STDEV(G3:G32)</f>
        <v>91.405168866435972</v>
      </c>
      <c r="H36" s="67">
        <f>STDEV(H3:H33)</f>
        <v>466.62183549123353</v>
      </c>
      <c r="I36" s="8"/>
      <c r="J36" s="14">
        <f>STDEV(J3:J33)</f>
        <v>0.18509872625585105</v>
      </c>
      <c r="K36" s="14">
        <f>STDEV(K3:K33)</f>
        <v>8.3724824000090625E-2</v>
      </c>
      <c r="L36" s="21"/>
      <c r="N36" s="15">
        <f>STDEV(N4:N30)</f>
        <v>0.17781327150640222</v>
      </c>
      <c r="O36" s="18" t="s">
        <v>23</v>
      </c>
      <c r="P36" s="16">
        <f>STDEV(P3:P30)</f>
        <v>1029.2481974003408</v>
      </c>
      <c r="Q36" s="16" t="s">
        <v>0</v>
      </c>
      <c r="R36" s="16">
        <f>STDEV(R3:R30)</f>
        <v>791.76205565673331</v>
      </c>
      <c r="S36" s="16">
        <f>STDEV(S3:S30)</f>
        <v>827.44397099277273</v>
      </c>
      <c r="T36" s="16">
        <f>STDEV(T3:T30)</f>
        <v>923.07005425706006</v>
      </c>
      <c r="U36" s="16">
        <f>STDEV(U3:U30)</f>
        <v>260.69826045189654</v>
      </c>
      <c r="V36" s="16"/>
      <c r="X36"/>
      <c r="Y36"/>
      <c r="Z36"/>
    </row>
    <row r="88" spans="10:10">
      <c r="J88" s="3">
        <v>3</v>
      </c>
    </row>
  </sheetData>
  <conditionalFormatting sqref="J3:J4 J10:J15 J18:J22">
    <cfRule type="cellIs" dxfId="2" priority="8" operator="equal">
      <formula>0</formula>
    </cfRule>
    <cfRule type="cellIs" dxfId="1" priority="9" operator="lessThan">
      <formula>5</formula>
    </cfRule>
    <cfRule type="cellIs" dxfId="0" priority="10" operator="greaterThan">
      <formula>7.2</formula>
    </cfRule>
  </conditionalFormatting>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workbookViewId="0">
      <pane xSplit="2" ySplit="2" topLeftCell="C3" activePane="bottomRight" state="frozen"/>
      <selection pane="topRight" activeCell="C1" sqref="C1"/>
      <selection pane="bottomLeft" activeCell="A3" sqref="A3"/>
      <selection pane="bottomRight" activeCell="H18" sqref="H18:H33"/>
    </sheetView>
  </sheetViews>
  <sheetFormatPr baseColWidth="10" defaultRowHeight="15" x14ac:dyDescent="0"/>
  <cols>
    <col min="1" max="1" width="11.6640625" customWidth="1"/>
    <col min="2" max="2" width="6.33203125" customWidth="1"/>
    <col min="3" max="3" width="10.83203125" style="66"/>
    <col min="4" max="4" width="10.83203125" style="2"/>
    <col min="5" max="5" width="10.83203125" style="22"/>
    <col min="6" max="6" width="4.6640625" style="2" customWidth="1"/>
    <col min="7" max="8" width="10.83203125" style="65"/>
    <col min="9" max="9" width="5" customWidth="1"/>
    <col min="10" max="10" width="10.6640625" style="3" customWidth="1"/>
    <col min="11" max="11" width="8" style="3" customWidth="1"/>
    <col min="12" max="12" width="4.6640625" style="22" customWidth="1"/>
    <col min="13" max="14" width="10.83203125" style="5"/>
    <col min="15" max="15" width="5.1640625" customWidth="1"/>
    <col min="16" max="18" width="10.83203125" style="66"/>
    <col min="19" max="21" width="8.6640625" style="66" customWidth="1"/>
    <col min="22" max="22" width="8.6640625" style="6" customWidth="1"/>
    <col min="23" max="24" width="9.83203125" customWidth="1"/>
  </cols>
  <sheetData>
    <row r="1" spans="1:26" s="9" customFormat="1" ht="18">
      <c r="A1" s="9" t="s">
        <v>97</v>
      </c>
      <c r="C1" s="63"/>
      <c r="D1" s="12"/>
      <c r="E1" s="19"/>
      <c r="F1" s="12"/>
      <c r="G1" s="70"/>
      <c r="H1" s="70"/>
      <c r="J1" s="72"/>
      <c r="K1" s="72"/>
      <c r="L1" s="19"/>
      <c r="M1" s="68"/>
      <c r="N1" s="68"/>
      <c r="P1" s="63"/>
      <c r="Q1" s="63"/>
      <c r="R1" s="63"/>
      <c r="S1" s="63"/>
      <c r="T1" s="63"/>
      <c r="U1" s="63"/>
      <c r="V1" s="11"/>
    </row>
    <row r="2" spans="1:26" s="23" customFormat="1" ht="60">
      <c r="A2" s="23" t="s">
        <v>12</v>
      </c>
      <c r="B2" s="24" t="s">
        <v>98</v>
      </c>
      <c r="C2" s="64" t="s">
        <v>28</v>
      </c>
      <c r="D2" s="26" t="s">
        <v>9</v>
      </c>
      <c r="E2" s="74" t="s">
        <v>10</v>
      </c>
      <c r="F2" s="27" t="s">
        <v>24</v>
      </c>
      <c r="G2" s="71" t="s">
        <v>29</v>
      </c>
      <c r="H2" s="71" t="s">
        <v>30</v>
      </c>
      <c r="I2" s="27" t="s">
        <v>24</v>
      </c>
      <c r="J2" s="28" t="s">
        <v>1</v>
      </c>
      <c r="K2" s="28" t="s">
        <v>11</v>
      </c>
      <c r="L2" s="30" t="s">
        <v>24</v>
      </c>
      <c r="M2" s="69" t="s">
        <v>13</v>
      </c>
      <c r="N2" s="69" t="s">
        <v>14</v>
      </c>
      <c r="O2" s="27" t="s">
        <v>24</v>
      </c>
      <c r="P2" s="77" t="s">
        <v>15</v>
      </c>
      <c r="Q2" s="77" t="s">
        <v>16</v>
      </c>
      <c r="R2" s="77" t="s">
        <v>17</v>
      </c>
      <c r="S2" s="77" t="s">
        <v>18</v>
      </c>
      <c r="T2" s="77" t="s">
        <v>19</v>
      </c>
      <c r="U2" s="77" t="s">
        <v>20</v>
      </c>
      <c r="V2" s="32"/>
      <c r="W2" s="23" t="s">
        <v>5</v>
      </c>
      <c r="X2" s="23" t="s">
        <v>6</v>
      </c>
      <c r="Y2" s="23" t="s">
        <v>7</v>
      </c>
      <c r="Z2" s="23" t="s">
        <v>8</v>
      </c>
    </row>
    <row r="3" spans="1:26" ht="14" customHeight="1">
      <c r="B3" s="20">
        <v>1</v>
      </c>
      <c r="C3" s="65">
        <v>914.7</v>
      </c>
      <c r="D3" s="91">
        <v>58.4</v>
      </c>
      <c r="E3" s="91">
        <v>54</v>
      </c>
      <c r="F3" s="20">
        <v>1</v>
      </c>
      <c r="G3" s="65">
        <v>661.18309859263331</v>
      </c>
      <c r="H3" s="65">
        <v>1966.3098591581538</v>
      </c>
      <c r="I3" s="20">
        <v>1</v>
      </c>
      <c r="J3" s="3">
        <v>4.99</v>
      </c>
      <c r="K3" s="3">
        <v>7.35</v>
      </c>
      <c r="L3" s="20">
        <v>1</v>
      </c>
      <c r="M3"/>
      <c r="N3"/>
      <c r="O3" s="20">
        <v>1</v>
      </c>
      <c r="P3"/>
      <c r="Q3"/>
      <c r="R3"/>
      <c r="S3"/>
      <c r="T3"/>
      <c r="U3"/>
      <c r="W3" s="84">
        <v>6</v>
      </c>
      <c r="X3" s="84">
        <v>0</v>
      </c>
      <c r="Y3" s="85">
        <v>325257</v>
      </c>
      <c r="Z3" s="84">
        <v>3118</v>
      </c>
    </row>
    <row r="4" spans="1:26" ht="14" customHeight="1">
      <c r="B4" s="20">
        <v>2</v>
      </c>
      <c r="C4" s="65">
        <v>1047.6400000000001</v>
      </c>
      <c r="D4" s="91">
        <v>59.6</v>
      </c>
      <c r="E4" s="91">
        <v>58</v>
      </c>
      <c r="F4" s="20">
        <v>2</v>
      </c>
      <c r="G4" s="65">
        <v>682.36933798186192</v>
      </c>
      <c r="H4" s="65">
        <v>2261.85365854576</v>
      </c>
      <c r="I4" s="20">
        <v>2</v>
      </c>
      <c r="J4" s="3">
        <v>5.01</v>
      </c>
      <c r="K4" s="3">
        <v>7.32</v>
      </c>
      <c r="L4" s="20">
        <v>2</v>
      </c>
      <c r="M4"/>
      <c r="N4"/>
      <c r="O4" s="20">
        <v>2</v>
      </c>
      <c r="P4"/>
      <c r="Q4"/>
      <c r="R4"/>
      <c r="S4"/>
      <c r="T4"/>
      <c r="U4"/>
      <c r="W4" s="84">
        <v>7</v>
      </c>
      <c r="X4" s="84">
        <v>0</v>
      </c>
      <c r="Y4" s="85">
        <v>326357</v>
      </c>
      <c r="Z4" s="84">
        <v>3125</v>
      </c>
    </row>
    <row r="5" spans="1:26" ht="14" customHeight="1">
      <c r="A5" t="s">
        <v>99</v>
      </c>
      <c r="B5" s="20">
        <v>3</v>
      </c>
      <c r="C5" s="65">
        <v>896.74916387890039</v>
      </c>
      <c r="D5" s="91">
        <v>59.8</v>
      </c>
      <c r="E5" s="91">
        <v>217</v>
      </c>
      <c r="F5" s="20">
        <v>3</v>
      </c>
      <c r="G5" s="65">
        <v>596.2274247486996</v>
      </c>
      <c r="H5" s="65">
        <v>1945.6856187275821</v>
      </c>
      <c r="I5" s="20">
        <v>3</v>
      </c>
      <c r="J5" s="3">
        <v>5.13</v>
      </c>
      <c r="K5" s="3">
        <v>7.32</v>
      </c>
      <c r="L5" s="20">
        <v>3</v>
      </c>
      <c r="M5"/>
      <c r="N5"/>
      <c r="O5" s="20">
        <v>3</v>
      </c>
      <c r="P5"/>
      <c r="Q5"/>
      <c r="R5"/>
      <c r="S5"/>
      <c r="T5"/>
      <c r="U5"/>
      <c r="W5" s="84">
        <v>7</v>
      </c>
      <c r="X5" s="84">
        <v>0</v>
      </c>
      <c r="Y5" s="85">
        <v>327257</v>
      </c>
      <c r="Z5" s="84">
        <v>3131</v>
      </c>
    </row>
    <row r="6" spans="1:26" ht="14" customHeight="1">
      <c r="B6" s="20">
        <v>4</v>
      </c>
      <c r="C6" s="65">
        <v>1042.72</v>
      </c>
      <c r="D6" s="91">
        <v>60.5</v>
      </c>
      <c r="E6" s="91">
        <v>114</v>
      </c>
      <c r="F6" s="20">
        <v>4</v>
      </c>
      <c r="G6" s="65">
        <v>569.20000000000005</v>
      </c>
      <c r="H6" s="65">
        <v>2237</v>
      </c>
      <c r="I6" s="20">
        <v>4</v>
      </c>
      <c r="J6" s="1"/>
      <c r="K6"/>
      <c r="L6" s="20">
        <v>4</v>
      </c>
      <c r="M6"/>
      <c r="N6"/>
      <c r="O6" s="20">
        <v>4</v>
      </c>
      <c r="P6"/>
      <c r="Q6"/>
      <c r="R6"/>
      <c r="S6"/>
      <c r="T6"/>
      <c r="U6"/>
      <c r="W6" s="84">
        <v>6</v>
      </c>
      <c r="X6" s="84">
        <v>0</v>
      </c>
      <c r="Y6" s="85">
        <v>328357</v>
      </c>
      <c r="Z6" s="84">
        <v>3137</v>
      </c>
    </row>
    <row r="7" spans="1:26" ht="14" customHeight="1">
      <c r="B7" s="20">
        <v>5</v>
      </c>
      <c r="C7" s="65">
        <v>1062.72</v>
      </c>
      <c r="D7" s="91">
        <v>60.2</v>
      </c>
      <c r="E7" s="91">
        <v>129</v>
      </c>
      <c r="F7" s="20">
        <v>5</v>
      </c>
      <c r="G7" s="65">
        <v>698.9</v>
      </c>
      <c r="H7" s="65">
        <v>2297</v>
      </c>
      <c r="I7" s="20">
        <v>5</v>
      </c>
      <c r="J7" s="3">
        <v>4.97</v>
      </c>
      <c r="K7" s="3">
        <v>7.33</v>
      </c>
      <c r="L7" s="20">
        <v>5</v>
      </c>
      <c r="M7"/>
      <c r="N7">
        <f>AVERAGE(0.46,0.49,0.49)</f>
        <v>0.48</v>
      </c>
      <c r="O7" s="20">
        <v>5</v>
      </c>
      <c r="P7">
        <f>AVERAGE([1]Alkalinity!$M$174:$M$176)</f>
        <v>5019</v>
      </c>
      <c r="Q7"/>
      <c r="R7" s="4">
        <f>AVERAGE([1]Alkalinity!$O$174:$O$176)</f>
        <v>3338.9999999999995</v>
      </c>
      <c r="S7">
        <f>AVERAGE([1]Alkalinity!$M$171:$M$173)</f>
        <v>6888</v>
      </c>
      <c r="T7">
        <f>AVERAGE([1]Alkalinity!$N$171:$N$173)</f>
        <v>4382</v>
      </c>
      <c r="U7" s="4">
        <f>AVERAGE([1]Alkalinity!$O$171:$O$173)</f>
        <v>2107</v>
      </c>
      <c r="W7" s="84">
        <v>5</v>
      </c>
      <c r="X7" s="84">
        <v>0</v>
      </c>
      <c r="Y7" s="85">
        <v>329457</v>
      </c>
      <c r="Z7" s="84">
        <v>3145</v>
      </c>
    </row>
    <row r="8" spans="1:26" ht="14" customHeight="1">
      <c r="B8" s="20">
        <v>6</v>
      </c>
      <c r="C8" s="65">
        <v>1026.72</v>
      </c>
      <c r="D8" s="91">
        <v>60.6</v>
      </c>
      <c r="E8" s="91">
        <v>73</v>
      </c>
      <c r="F8" s="20">
        <v>6</v>
      </c>
      <c r="G8" s="65">
        <v>693.1</v>
      </c>
      <c r="H8" s="65">
        <v>2422</v>
      </c>
      <c r="I8" s="20">
        <v>6</v>
      </c>
      <c r="J8" s="3">
        <v>4.96</v>
      </c>
      <c r="K8" s="3">
        <v>7.44</v>
      </c>
      <c r="L8" s="20">
        <v>6</v>
      </c>
      <c r="M8"/>
      <c r="N8"/>
      <c r="O8" s="20">
        <v>6</v>
      </c>
      <c r="P8"/>
      <c r="Q8"/>
      <c r="R8"/>
      <c r="S8"/>
      <c r="T8"/>
      <c r="U8"/>
      <c r="W8" s="84">
        <v>7</v>
      </c>
      <c r="X8" s="84">
        <v>0</v>
      </c>
      <c r="Y8" s="85">
        <v>330457</v>
      </c>
      <c r="Z8" s="84">
        <v>3152</v>
      </c>
    </row>
    <row r="9" spans="1:26" ht="14" customHeight="1">
      <c r="B9" s="20">
        <v>7</v>
      </c>
      <c r="C9" s="65">
        <v>882.26</v>
      </c>
      <c r="D9">
        <v>61.1</v>
      </c>
      <c r="E9">
        <v>82</v>
      </c>
      <c r="F9" s="20">
        <v>7</v>
      </c>
      <c r="G9">
        <v>756.2</v>
      </c>
      <c r="H9" s="65">
        <v>1943</v>
      </c>
      <c r="I9" s="20">
        <v>7</v>
      </c>
      <c r="J9" s="1">
        <v>5.03</v>
      </c>
      <c r="K9" s="3">
        <v>7.31</v>
      </c>
      <c r="L9" s="20">
        <v>7</v>
      </c>
      <c r="M9"/>
      <c r="N9"/>
      <c r="O9" s="20">
        <v>7</v>
      </c>
      <c r="P9"/>
      <c r="Q9"/>
      <c r="R9"/>
      <c r="S9"/>
      <c r="T9"/>
      <c r="U9"/>
      <c r="W9" s="84">
        <v>6</v>
      </c>
      <c r="X9" s="84">
        <v>0</v>
      </c>
      <c r="Y9" s="85">
        <v>331357</v>
      </c>
      <c r="Z9" s="84">
        <v>3158</v>
      </c>
    </row>
    <row r="10" spans="1:26" ht="14" customHeight="1">
      <c r="B10" s="20">
        <v>8</v>
      </c>
      <c r="C10" s="65">
        <v>987.99</v>
      </c>
      <c r="D10">
        <v>59.1</v>
      </c>
      <c r="E10">
        <v>31</v>
      </c>
      <c r="F10" s="20">
        <v>8</v>
      </c>
      <c r="G10">
        <v>612.1</v>
      </c>
      <c r="H10" s="65">
        <v>2106</v>
      </c>
      <c r="I10" s="20">
        <v>8</v>
      </c>
      <c r="J10" s="1">
        <v>5.05</v>
      </c>
      <c r="K10" s="3">
        <v>7.31</v>
      </c>
      <c r="L10" s="20">
        <v>8</v>
      </c>
      <c r="M10"/>
      <c r="N10"/>
      <c r="O10" s="20">
        <v>8</v>
      </c>
      <c r="P10"/>
      <c r="Q10"/>
      <c r="R10"/>
      <c r="S10"/>
      <c r="T10"/>
      <c r="U10"/>
      <c r="W10" s="84">
        <v>7</v>
      </c>
      <c r="X10" s="84">
        <v>0</v>
      </c>
      <c r="Y10" s="85"/>
      <c r="Z10" s="84"/>
    </row>
    <row r="11" spans="1:26" ht="14" customHeight="1">
      <c r="B11" s="20">
        <v>9</v>
      </c>
      <c r="C11" s="65">
        <v>1127.6600000000001</v>
      </c>
      <c r="D11">
        <v>59.4</v>
      </c>
      <c r="E11">
        <v>59</v>
      </c>
      <c r="F11" s="20">
        <v>9</v>
      </c>
      <c r="G11">
        <v>680.5</v>
      </c>
      <c r="H11" s="65">
        <v>2399</v>
      </c>
      <c r="I11" s="20">
        <v>9</v>
      </c>
      <c r="J11" s="1">
        <v>5.03</v>
      </c>
      <c r="K11" s="3">
        <v>7.28</v>
      </c>
      <c r="L11" s="20">
        <v>9</v>
      </c>
      <c r="M11"/>
      <c r="N11"/>
      <c r="O11" s="20">
        <v>9</v>
      </c>
      <c r="P11"/>
      <c r="Q11"/>
      <c r="R11"/>
      <c r="S11"/>
      <c r="T11"/>
      <c r="U11"/>
      <c r="W11" s="84">
        <v>7</v>
      </c>
      <c r="X11" s="84">
        <v>0</v>
      </c>
      <c r="Y11" s="85">
        <v>333557</v>
      </c>
      <c r="Z11" s="84">
        <v>3171</v>
      </c>
    </row>
    <row r="12" spans="1:26" ht="14" customHeight="1">
      <c r="B12" s="20">
        <v>10</v>
      </c>
      <c r="C12" s="65">
        <v>900.25</v>
      </c>
      <c r="D12">
        <v>59</v>
      </c>
      <c r="E12">
        <v>51</v>
      </c>
      <c r="F12" s="20">
        <v>10</v>
      </c>
      <c r="G12">
        <v>694.5</v>
      </c>
      <c r="H12" s="65">
        <v>1940</v>
      </c>
      <c r="I12" s="20">
        <v>10</v>
      </c>
      <c r="J12" s="1">
        <v>5.18</v>
      </c>
      <c r="K12" s="3">
        <v>7.32</v>
      </c>
      <c r="L12" s="20">
        <v>10</v>
      </c>
      <c r="M12"/>
      <c r="N12"/>
      <c r="O12" s="20">
        <v>10</v>
      </c>
      <c r="P12"/>
      <c r="Q12"/>
      <c r="R12"/>
      <c r="S12"/>
      <c r="T12"/>
      <c r="U12"/>
      <c r="W12" s="84">
        <v>6</v>
      </c>
      <c r="X12" s="84">
        <v>0</v>
      </c>
      <c r="Y12" s="85">
        <v>334357</v>
      </c>
      <c r="Z12" s="84">
        <v>3177</v>
      </c>
    </row>
    <row r="13" spans="1:26" ht="14" customHeight="1">
      <c r="B13" s="20">
        <v>11</v>
      </c>
      <c r="C13" s="65">
        <v>1088.22</v>
      </c>
      <c r="D13">
        <v>58.8</v>
      </c>
      <c r="E13">
        <v>122</v>
      </c>
      <c r="F13" s="20">
        <v>11</v>
      </c>
      <c r="G13">
        <v>698.6</v>
      </c>
      <c r="H13" s="65">
        <v>2342</v>
      </c>
      <c r="I13" s="20">
        <v>11</v>
      </c>
      <c r="J13" s="1">
        <v>5.04</v>
      </c>
      <c r="K13" s="3">
        <v>7.43</v>
      </c>
      <c r="L13" s="20">
        <v>11</v>
      </c>
      <c r="M13"/>
      <c r="N13">
        <f>AVERAGE(0.43,0.44)</f>
        <v>0.435</v>
      </c>
      <c r="O13" s="20">
        <v>11</v>
      </c>
      <c r="P13">
        <f>AVERAGE([1]Alkalinity!$M$179:$M$180)</f>
        <v>5155.5</v>
      </c>
      <c r="Q13"/>
      <c r="R13" s="4">
        <f>AVERAGE([1]Alkalinity!$O$179:$O$180)</f>
        <v>3349.5</v>
      </c>
      <c r="S13">
        <f>AVERAGE([1]Alkalinity!$M$177:$M$178)</f>
        <v>6877.5</v>
      </c>
      <c r="T13">
        <f>AVERAGE([1]Alkalinity!$N$177:$N$178)</f>
        <v>4588.5</v>
      </c>
      <c r="U13" s="4">
        <f>AVERAGE([1]Alkalinity!$O$177:$O$178)</f>
        <v>1984.4999999999995</v>
      </c>
      <c r="W13" s="84">
        <v>7</v>
      </c>
      <c r="X13" s="84">
        <v>0</v>
      </c>
      <c r="Y13" s="85">
        <v>335457</v>
      </c>
      <c r="Z13" s="84">
        <v>3184</v>
      </c>
    </row>
    <row r="14" spans="1:26" ht="14" customHeight="1">
      <c r="B14" s="20">
        <v>12</v>
      </c>
      <c r="C14" s="65">
        <v>1204.44</v>
      </c>
      <c r="D14">
        <v>59.8</v>
      </c>
      <c r="E14">
        <v>79</v>
      </c>
      <c r="F14" s="20">
        <v>12</v>
      </c>
      <c r="G14">
        <v>757.9</v>
      </c>
      <c r="H14" s="65">
        <v>2576</v>
      </c>
      <c r="I14" s="20">
        <v>12</v>
      </c>
      <c r="J14" s="1">
        <v>4.9000000000000004</v>
      </c>
      <c r="K14" s="3">
        <v>7.32</v>
      </c>
      <c r="L14" s="20">
        <v>12</v>
      </c>
      <c r="M14"/>
      <c r="N14"/>
      <c r="O14" s="20">
        <v>12</v>
      </c>
      <c r="P14"/>
      <c r="Q14"/>
      <c r="R14"/>
      <c r="S14"/>
      <c r="T14"/>
      <c r="U14"/>
      <c r="W14" s="84">
        <v>7</v>
      </c>
      <c r="X14" s="84">
        <v>0</v>
      </c>
      <c r="Y14" s="85">
        <v>336857</v>
      </c>
      <c r="Z14" s="84">
        <v>3192</v>
      </c>
    </row>
    <row r="15" spans="1:26" ht="14" customHeight="1">
      <c r="B15" s="20">
        <v>13</v>
      </c>
      <c r="C15" s="65"/>
      <c r="D15"/>
      <c r="F15" s="20">
        <v>13</v>
      </c>
      <c r="G15"/>
      <c r="H15"/>
      <c r="I15" s="20">
        <v>13</v>
      </c>
      <c r="J15" s="1"/>
      <c r="K15"/>
      <c r="L15" s="20">
        <v>13</v>
      </c>
      <c r="M15"/>
      <c r="N15"/>
      <c r="O15" s="20">
        <v>13</v>
      </c>
      <c r="P15"/>
      <c r="Q15"/>
      <c r="R15"/>
      <c r="S15"/>
      <c r="T15"/>
      <c r="U15"/>
      <c r="W15" s="84"/>
      <c r="X15" s="84"/>
      <c r="Y15" s="85"/>
      <c r="Z15" s="84"/>
    </row>
    <row r="16" spans="1:26" ht="14" customHeight="1">
      <c r="A16" t="s">
        <v>99</v>
      </c>
      <c r="B16" s="20">
        <v>14</v>
      </c>
      <c r="C16" s="65">
        <v>1128.28</v>
      </c>
      <c r="D16">
        <v>60.4</v>
      </c>
      <c r="E16">
        <v>221</v>
      </c>
      <c r="F16" s="20">
        <v>14</v>
      </c>
      <c r="G16">
        <v>700.9</v>
      </c>
      <c r="H16" s="65">
        <v>2594</v>
      </c>
      <c r="I16" s="20">
        <v>14</v>
      </c>
      <c r="J16" s="1">
        <v>4.9800000000000004</v>
      </c>
      <c r="K16" s="3">
        <v>7.31</v>
      </c>
      <c r="L16" s="20">
        <v>14</v>
      </c>
      <c r="M16"/>
      <c r="N16"/>
      <c r="O16" s="20">
        <v>14</v>
      </c>
      <c r="P16"/>
      <c r="Q16"/>
      <c r="R16"/>
      <c r="S16"/>
      <c r="T16"/>
      <c r="U16"/>
      <c r="W16" s="84">
        <v>15</v>
      </c>
      <c r="X16" s="84">
        <v>0</v>
      </c>
      <c r="Y16" s="85">
        <v>339057</v>
      </c>
      <c r="Z16" s="84">
        <v>3207</v>
      </c>
    </row>
    <row r="17" spans="2:26" ht="14" customHeight="1">
      <c r="B17" s="20">
        <v>15</v>
      </c>
      <c r="C17" s="65">
        <v>1196.1500000000001</v>
      </c>
      <c r="D17">
        <v>60.4</v>
      </c>
      <c r="E17">
        <v>106</v>
      </c>
      <c r="F17" s="20">
        <v>15</v>
      </c>
      <c r="G17">
        <v>669.5</v>
      </c>
      <c r="H17" s="65">
        <v>2665</v>
      </c>
      <c r="I17" s="20">
        <v>15</v>
      </c>
      <c r="J17" s="1"/>
      <c r="K17"/>
      <c r="L17" s="20">
        <v>15</v>
      </c>
      <c r="M17"/>
      <c r="N17"/>
      <c r="O17" s="20">
        <v>15</v>
      </c>
      <c r="P17"/>
      <c r="Q17"/>
      <c r="R17"/>
      <c r="S17"/>
      <c r="T17"/>
      <c r="U17"/>
      <c r="V17"/>
      <c r="W17" s="84">
        <v>7</v>
      </c>
      <c r="X17" s="84">
        <v>0</v>
      </c>
      <c r="Y17" s="85">
        <v>340257</v>
      </c>
      <c r="Z17" s="84">
        <v>3215</v>
      </c>
    </row>
    <row r="18" spans="2:26" ht="14" customHeight="1">
      <c r="B18" s="20">
        <v>16</v>
      </c>
      <c r="C18" s="65">
        <v>1395.31</v>
      </c>
      <c r="D18">
        <v>61</v>
      </c>
      <c r="E18">
        <v>60</v>
      </c>
      <c r="F18" s="20">
        <v>16</v>
      </c>
      <c r="G18">
        <v>614.70000000000005</v>
      </c>
      <c r="H18" s="6">
        <v>3069</v>
      </c>
      <c r="I18" s="20">
        <v>16</v>
      </c>
      <c r="J18" s="1">
        <v>4.99</v>
      </c>
      <c r="K18" s="3">
        <v>7.32</v>
      </c>
      <c r="L18" s="20">
        <v>16</v>
      </c>
      <c r="M18"/>
      <c r="N18"/>
      <c r="O18" s="20">
        <v>16</v>
      </c>
      <c r="P18"/>
      <c r="Q18"/>
      <c r="R18"/>
      <c r="S18"/>
      <c r="T18"/>
      <c r="U18"/>
      <c r="V18"/>
      <c r="W18" s="84">
        <v>8</v>
      </c>
      <c r="X18" s="84">
        <v>0</v>
      </c>
      <c r="Y18" s="85">
        <v>341657</v>
      </c>
      <c r="Z18" s="84">
        <v>3224</v>
      </c>
    </row>
    <row r="19" spans="2:26" ht="14" customHeight="1">
      <c r="B19" s="20">
        <v>17</v>
      </c>
      <c r="C19" s="65">
        <v>1218.6099999999999</v>
      </c>
      <c r="D19">
        <v>61.9</v>
      </c>
      <c r="E19">
        <v>47</v>
      </c>
      <c r="F19" s="20">
        <v>17</v>
      </c>
      <c r="G19">
        <v>563.4</v>
      </c>
      <c r="H19" s="6">
        <v>3093</v>
      </c>
      <c r="I19" s="20">
        <v>17</v>
      </c>
      <c r="J19" s="3">
        <v>5.07</v>
      </c>
      <c r="K19" s="3">
        <v>7.33</v>
      </c>
      <c r="L19" s="20">
        <v>17</v>
      </c>
      <c r="M19"/>
      <c r="N19">
        <v>0.41</v>
      </c>
      <c r="O19" s="20">
        <v>17</v>
      </c>
      <c r="P19">
        <f>AVERAGE([1]Alkalinity!$M$184:$M$185)</f>
        <v>4893</v>
      </c>
      <c r="Q19"/>
      <c r="R19" s="4">
        <f>AVERAGE([1]Alkalinity!$O$184:$O$185)</f>
        <v>3517.5</v>
      </c>
      <c r="S19">
        <f>AVERAGE([1]Alkalinity!$M$182:$M$183)</f>
        <v>6562.5</v>
      </c>
      <c r="T19">
        <f>AVERAGE([1]Alkalinity!$N$181:$N$183)</f>
        <v>4445</v>
      </c>
      <c r="U19" s="4">
        <f>AVERAGE([1]Alkalinity!$O$182:$O$183)</f>
        <v>1837.5</v>
      </c>
      <c r="V19"/>
      <c r="W19" s="84">
        <v>8</v>
      </c>
      <c r="X19" s="84">
        <v>0</v>
      </c>
      <c r="Y19" s="85">
        <v>342857</v>
      </c>
      <c r="Z19" s="84">
        <v>3233</v>
      </c>
    </row>
    <row r="20" spans="2:26" ht="14" customHeight="1">
      <c r="B20" s="20">
        <v>18</v>
      </c>
      <c r="C20">
        <v>1445.02</v>
      </c>
      <c r="D20" s="80">
        <v>60.2</v>
      </c>
      <c r="E20" s="91">
        <v>145</v>
      </c>
      <c r="F20" s="20">
        <v>18</v>
      </c>
      <c r="G20">
        <v>728</v>
      </c>
      <c r="H20" s="6">
        <v>3258</v>
      </c>
      <c r="I20" s="20">
        <v>18</v>
      </c>
      <c r="J20" s="3">
        <v>4.96</v>
      </c>
      <c r="K20" s="3">
        <v>7.36</v>
      </c>
      <c r="L20" s="20">
        <v>18</v>
      </c>
      <c r="M20"/>
      <c r="N20"/>
      <c r="O20" s="20">
        <v>18</v>
      </c>
      <c r="P20"/>
      <c r="Q20"/>
      <c r="R20"/>
      <c r="S20"/>
      <c r="T20"/>
      <c r="U20"/>
      <c r="V20"/>
      <c r="W20" s="84">
        <v>9</v>
      </c>
      <c r="X20" s="84">
        <v>0</v>
      </c>
      <c r="Y20" s="85">
        <v>344357</v>
      </c>
      <c r="Z20" s="84">
        <v>3243</v>
      </c>
    </row>
    <row r="21" spans="2:26" ht="14" customHeight="1">
      <c r="B21" s="20">
        <v>19</v>
      </c>
      <c r="C21">
        <v>1583.8</v>
      </c>
      <c r="D21" s="80">
        <v>60.4</v>
      </c>
      <c r="E21" s="91">
        <v>165</v>
      </c>
      <c r="F21" s="20">
        <v>19</v>
      </c>
      <c r="G21">
        <v>646.6</v>
      </c>
      <c r="H21" s="6">
        <v>3365</v>
      </c>
      <c r="I21" s="20">
        <v>19</v>
      </c>
      <c r="J21" s="3">
        <v>4.9000000000000004</v>
      </c>
      <c r="K21" s="3">
        <v>7.3</v>
      </c>
      <c r="L21" s="20">
        <v>19</v>
      </c>
      <c r="M21"/>
      <c r="N21"/>
      <c r="O21" s="20">
        <v>19</v>
      </c>
      <c r="P21"/>
      <c r="Q21"/>
      <c r="R21"/>
      <c r="S21"/>
      <c r="T21"/>
      <c r="U21"/>
      <c r="V21"/>
      <c r="W21" s="84">
        <v>8</v>
      </c>
      <c r="X21" s="84">
        <v>0</v>
      </c>
      <c r="Y21" s="85">
        <v>345957</v>
      </c>
      <c r="Z21" s="84">
        <v>3253</v>
      </c>
    </row>
    <row r="22" spans="2:26" ht="14" customHeight="1">
      <c r="B22" s="20">
        <v>20</v>
      </c>
      <c r="C22">
        <v>1446.04</v>
      </c>
      <c r="D22" s="80">
        <v>60.4</v>
      </c>
      <c r="E22" s="91">
        <v>178</v>
      </c>
      <c r="F22" s="20">
        <v>20</v>
      </c>
      <c r="G22">
        <v>584.1</v>
      </c>
      <c r="H22" s="6">
        <v>3059</v>
      </c>
      <c r="I22" s="20">
        <v>20</v>
      </c>
      <c r="J22" s="1"/>
      <c r="K22"/>
      <c r="L22" s="20">
        <v>20</v>
      </c>
      <c r="M22"/>
      <c r="N22"/>
      <c r="O22" s="20">
        <v>20</v>
      </c>
      <c r="P22"/>
      <c r="Q22"/>
      <c r="R22"/>
      <c r="S22"/>
      <c r="T22"/>
      <c r="U22"/>
      <c r="V22"/>
      <c r="W22" s="84">
        <v>8</v>
      </c>
      <c r="X22" s="84">
        <v>0</v>
      </c>
      <c r="Y22" s="85">
        <v>347457</v>
      </c>
      <c r="Z22" s="84">
        <v>3262</v>
      </c>
    </row>
    <row r="23" spans="2:26" ht="14" customHeight="1">
      <c r="B23" s="20">
        <v>21</v>
      </c>
      <c r="C23">
        <v>1467.71</v>
      </c>
      <c r="D23" s="80">
        <v>60.2</v>
      </c>
      <c r="E23" s="91">
        <v>132</v>
      </c>
      <c r="F23" s="20">
        <v>21</v>
      </c>
      <c r="G23">
        <v>598.20000000000005</v>
      </c>
      <c r="H23" s="6">
        <v>3495</v>
      </c>
      <c r="I23" s="20">
        <v>21</v>
      </c>
      <c r="J23" s="3">
        <v>5.04</v>
      </c>
      <c r="K23" s="3">
        <v>7.32</v>
      </c>
      <c r="L23" s="20">
        <v>21</v>
      </c>
      <c r="M23"/>
      <c r="N23"/>
      <c r="O23" s="20">
        <v>21</v>
      </c>
      <c r="P23"/>
      <c r="Q23"/>
      <c r="R23"/>
      <c r="S23"/>
      <c r="T23"/>
      <c r="U23"/>
      <c r="V23"/>
      <c r="W23" s="84">
        <v>9</v>
      </c>
      <c r="X23" s="84">
        <v>0</v>
      </c>
      <c r="Y23" s="85">
        <v>348957</v>
      </c>
      <c r="Z23" s="84">
        <v>3271</v>
      </c>
    </row>
    <row r="24" spans="2:26" ht="14" customHeight="1">
      <c r="B24" s="20">
        <v>22</v>
      </c>
      <c r="C24">
        <v>1485.85</v>
      </c>
      <c r="D24" s="80">
        <v>60.3</v>
      </c>
      <c r="E24" s="91">
        <v>156</v>
      </c>
      <c r="F24" s="20">
        <v>22</v>
      </c>
      <c r="G24">
        <v>621</v>
      </c>
      <c r="H24" s="6">
        <v>3169</v>
      </c>
      <c r="I24" s="20">
        <v>22</v>
      </c>
      <c r="J24" s="3">
        <v>5</v>
      </c>
      <c r="K24" s="3">
        <v>7.31</v>
      </c>
      <c r="L24" s="20">
        <v>22</v>
      </c>
      <c r="M24"/>
      <c r="N24"/>
      <c r="O24" s="20">
        <v>22</v>
      </c>
      <c r="P24"/>
      <c r="Q24"/>
      <c r="R24"/>
      <c r="S24"/>
      <c r="T24"/>
      <c r="U24"/>
      <c r="V24"/>
      <c r="W24" s="84">
        <v>8</v>
      </c>
      <c r="X24" s="84">
        <v>0</v>
      </c>
      <c r="Y24" s="85">
        <v>350457</v>
      </c>
      <c r="Z24" s="84">
        <v>3280</v>
      </c>
    </row>
    <row r="25" spans="2:26" ht="14" customHeight="1">
      <c r="B25" s="20">
        <v>23</v>
      </c>
      <c r="C25">
        <v>1374.05</v>
      </c>
      <c r="D25" s="80">
        <v>60.9</v>
      </c>
      <c r="E25" s="91">
        <v>207</v>
      </c>
      <c r="F25" s="20">
        <v>23</v>
      </c>
      <c r="G25">
        <v>603.6</v>
      </c>
      <c r="H25" s="6">
        <v>3062</v>
      </c>
      <c r="I25" s="20">
        <v>23</v>
      </c>
      <c r="J25" s="3">
        <v>5.3049999999999997</v>
      </c>
      <c r="K25" s="3">
        <v>7.35</v>
      </c>
      <c r="L25" s="20">
        <v>23</v>
      </c>
      <c r="M25"/>
      <c r="N25"/>
      <c r="O25" s="20">
        <v>23</v>
      </c>
      <c r="P25"/>
      <c r="Q25"/>
      <c r="R25"/>
      <c r="S25"/>
      <c r="T25"/>
      <c r="U25"/>
      <c r="V25"/>
      <c r="W25" s="84">
        <v>8</v>
      </c>
      <c r="X25" s="84">
        <v>0</v>
      </c>
      <c r="Y25" s="85">
        <v>351757</v>
      </c>
      <c r="Z25" s="84">
        <v>3290</v>
      </c>
    </row>
    <row r="26" spans="2:26" ht="14" customHeight="1">
      <c r="B26" s="20">
        <v>24</v>
      </c>
      <c r="C26">
        <v>1422.64</v>
      </c>
      <c r="D26" s="80">
        <v>61.3</v>
      </c>
      <c r="E26" s="91">
        <v>281</v>
      </c>
      <c r="F26" s="20">
        <v>24</v>
      </c>
      <c r="G26">
        <v>580.6</v>
      </c>
      <c r="H26" s="6">
        <v>3137</v>
      </c>
      <c r="I26" s="20">
        <v>24</v>
      </c>
      <c r="K26" s="3">
        <v>7.52</v>
      </c>
      <c r="L26" s="20">
        <v>24</v>
      </c>
      <c r="M26"/>
      <c r="N26">
        <v>0.43</v>
      </c>
      <c r="O26" s="20">
        <v>24</v>
      </c>
      <c r="P26"/>
      <c r="Q26"/>
      <c r="R26"/>
      <c r="S26">
        <v>6699</v>
      </c>
      <c r="T26">
        <v>4515</v>
      </c>
      <c r="U26">
        <v>1953</v>
      </c>
      <c r="V26"/>
      <c r="W26" s="84">
        <v>9</v>
      </c>
      <c r="X26" s="84">
        <v>0</v>
      </c>
      <c r="Y26" s="85">
        <v>353257</v>
      </c>
      <c r="Z26" s="84">
        <v>3299</v>
      </c>
    </row>
    <row r="27" spans="2:26" ht="14" customHeight="1">
      <c r="B27" s="20">
        <v>25</v>
      </c>
      <c r="C27">
        <v>1452.58</v>
      </c>
      <c r="D27" s="80">
        <v>60.7</v>
      </c>
      <c r="E27" s="91">
        <v>201</v>
      </c>
      <c r="F27" s="20">
        <v>25</v>
      </c>
      <c r="G27">
        <v>635.1</v>
      </c>
      <c r="H27" s="6">
        <v>3101</v>
      </c>
      <c r="I27" s="20">
        <v>25</v>
      </c>
      <c r="J27" s="3">
        <v>4.92</v>
      </c>
      <c r="K27" s="3">
        <v>7.31</v>
      </c>
      <c r="L27" s="20">
        <v>25</v>
      </c>
      <c r="M27"/>
      <c r="N27"/>
      <c r="O27" s="20">
        <v>25</v>
      </c>
      <c r="P27"/>
      <c r="Q27"/>
      <c r="R27"/>
      <c r="S27"/>
      <c r="T27"/>
      <c r="U27"/>
      <c r="V27"/>
      <c r="W27" s="84">
        <v>8</v>
      </c>
      <c r="X27" s="84">
        <v>0</v>
      </c>
      <c r="Y27" s="85">
        <v>354657</v>
      </c>
      <c r="Z27" s="84">
        <v>3308</v>
      </c>
    </row>
    <row r="28" spans="2:26" ht="14" customHeight="1">
      <c r="B28" s="20">
        <v>26</v>
      </c>
      <c r="C28">
        <v>1563.74</v>
      </c>
      <c r="D28" s="80">
        <v>60.5</v>
      </c>
      <c r="E28" s="91">
        <v>175</v>
      </c>
      <c r="F28" s="20">
        <v>26</v>
      </c>
      <c r="G28">
        <v>652.6</v>
      </c>
      <c r="H28" s="6">
        <v>3344</v>
      </c>
      <c r="I28" s="20">
        <v>26</v>
      </c>
      <c r="J28" s="3">
        <v>4.87</v>
      </c>
      <c r="K28" s="3">
        <v>7.35</v>
      </c>
      <c r="L28" s="20">
        <v>26</v>
      </c>
      <c r="M28"/>
      <c r="N28"/>
      <c r="O28" s="20">
        <v>26</v>
      </c>
      <c r="P28"/>
      <c r="Q28"/>
      <c r="R28"/>
      <c r="S28"/>
      <c r="T28"/>
      <c r="U28"/>
      <c r="V28"/>
      <c r="W28" s="84">
        <v>8</v>
      </c>
      <c r="X28" s="84">
        <v>0</v>
      </c>
      <c r="Y28" s="85">
        <v>356257</v>
      </c>
      <c r="Z28" s="84">
        <v>3318</v>
      </c>
    </row>
    <row r="29" spans="2:26" ht="14" customHeight="1">
      <c r="B29" s="20">
        <v>27</v>
      </c>
      <c r="C29">
        <v>1445.01</v>
      </c>
      <c r="D29" s="80">
        <v>60</v>
      </c>
      <c r="E29" s="91">
        <v>167</v>
      </c>
      <c r="F29" s="20">
        <v>27</v>
      </c>
      <c r="G29">
        <v>585.6</v>
      </c>
      <c r="H29" s="6">
        <v>3091</v>
      </c>
      <c r="I29" s="20">
        <v>27</v>
      </c>
      <c r="J29" s="3">
        <v>4.9000000000000004</v>
      </c>
      <c r="K29" s="3">
        <v>7.34</v>
      </c>
      <c r="L29" s="20">
        <v>27</v>
      </c>
      <c r="M29"/>
      <c r="N29"/>
      <c r="O29" s="20">
        <v>27</v>
      </c>
      <c r="P29"/>
      <c r="Q29"/>
      <c r="R29"/>
      <c r="S29"/>
      <c r="T29"/>
      <c r="U29"/>
      <c r="V29"/>
      <c r="W29" s="84">
        <v>8</v>
      </c>
      <c r="X29" s="84">
        <v>0</v>
      </c>
      <c r="Y29" s="85">
        <v>357757</v>
      </c>
      <c r="Z29" s="84">
        <v>3327</v>
      </c>
    </row>
    <row r="30" spans="2:26" ht="14" customHeight="1">
      <c r="B30" s="20">
        <v>28</v>
      </c>
      <c r="C30">
        <v>1431.9</v>
      </c>
      <c r="D30"/>
      <c r="E30"/>
      <c r="F30" s="20">
        <v>28</v>
      </c>
      <c r="G30">
        <v>600.5</v>
      </c>
      <c r="H30" s="6">
        <v>3079</v>
      </c>
      <c r="I30" s="20">
        <v>28</v>
      </c>
      <c r="J30" s="1"/>
      <c r="K30"/>
      <c r="L30" s="20">
        <v>28</v>
      </c>
      <c r="M30"/>
      <c r="N30"/>
      <c r="O30" s="20">
        <v>28</v>
      </c>
      <c r="P30"/>
      <c r="Q30"/>
      <c r="R30"/>
      <c r="S30"/>
      <c r="T30"/>
      <c r="U30"/>
      <c r="V30"/>
      <c r="W30" s="84">
        <v>8</v>
      </c>
      <c r="X30" s="84">
        <v>0</v>
      </c>
      <c r="Y30" s="85">
        <v>359157</v>
      </c>
      <c r="Z30" s="84">
        <v>3336</v>
      </c>
    </row>
    <row r="31" spans="2:26">
      <c r="B31" s="20">
        <v>29</v>
      </c>
      <c r="C31">
        <v>587.65</v>
      </c>
      <c r="D31" s="80">
        <v>60.9</v>
      </c>
      <c r="E31" s="91">
        <v>164</v>
      </c>
      <c r="F31" s="20">
        <v>29</v>
      </c>
      <c r="G31">
        <v>656.8</v>
      </c>
      <c r="H31" s="6">
        <v>1256</v>
      </c>
      <c r="I31" s="20">
        <v>29</v>
      </c>
      <c r="J31" s="3">
        <v>4.93</v>
      </c>
      <c r="K31" s="3">
        <v>7.28</v>
      </c>
      <c r="L31" s="20">
        <v>29</v>
      </c>
      <c r="M31"/>
      <c r="N31"/>
      <c r="O31" s="20">
        <v>29</v>
      </c>
      <c r="P31"/>
      <c r="Q31"/>
      <c r="R31"/>
      <c r="S31"/>
      <c r="T31"/>
      <c r="U31"/>
      <c r="V31"/>
      <c r="W31" s="84">
        <v>4</v>
      </c>
      <c r="X31" s="93">
        <v>4</v>
      </c>
      <c r="Y31" s="85">
        <v>359757</v>
      </c>
      <c r="Z31" s="84">
        <v>3340</v>
      </c>
    </row>
    <row r="32" spans="2:26">
      <c r="B32" s="20">
        <v>30</v>
      </c>
      <c r="C32">
        <v>1257.67</v>
      </c>
      <c r="D32" s="80">
        <v>61.9</v>
      </c>
      <c r="E32" s="91">
        <v>35</v>
      </c>
      <c r="F32" s="20">
        <v>30</v>
      </c>
      <c r="G32">
        <v>613.6</v>
      </c>
      <c r="H32" s="6">
        <v>3478</v>
      </c>
      <c r="I32" s="20">
        <v>30</v>
      </c>
      <c r="J32" s="3">
        <v>5.07</v>
      </c>
      <c r="K32" s="3">
        <v>7.26</v>
      </c>
      <c r="L32" s="20">
        <v>30</v>
      </c>
      <c r="M32"/>
      <c r="N32"/>
      <c r="O32" s="20">
        <v>30</v>
      </c>
      <c r="P32"/>
      <c r="Q32"/>
      <c r="R32"/>
      <c r="S32"/>
      <c r="T32"/>
      <c r="U32"/>
      <c r="V32"/>
      <c r="W32" s="84">
        <v>8</v>
      </c>
      <c r="X32" s="93">
        <v>1</v>
      </c>
      <c r="Y32" s="85">
        <v>361057</v>
      </c>
      <c r="Z32" s="84">
        <v>3350</v>
      </c>
    </row>
    <row r="33" spans="2:26">
      <c r="B33" s="20">
        <v>31</v>
      </c>
      <c r="C33">
        <v>1822.99</v>
      </c>
      <c r="D33" s="80">
        <v>62.6</v>
      </c>
      <c r="E33" s="91">
        <v>1</v>
      </c>
      <c r="F33" s="17">
        <v>31</v>
      </c>
      <c r="G33">
        <v>639.70000000000005</v>
      </c>
      <c r="H33" s="6">
        <v>3808</v>
      </c>
      <c r="I33" s="20">
        <v>31</v>
      </c>
      <c r="J33" s="3">
        <v>5.07</v>
      </c>
      <c r="K33" s="3">
        <v>7.43</v>
      </c>
      <c r="L33" s="20">
        <v>31</v>
      </c>
      <c r="N33" s="5">
        <f>AVERAGE(0.55,0.52)</f>
        <v>0.53500000000000003</v>
      </c>
      <c r="O33" s="17">
        <v>31</v>
      </c>
      <c r="P33" s="66">
        <f>AVERAGE([1]Alkalinity!$M$189:$M$190)</f>
        <v>6025</v>
      </c>
      <c r="R33" s="66">
        <f>AVERAGE([1]Alkalinity!$O$189:$O$190)</f>
        <v>4262.5000000000009</v>
      </c>
      <c r="S33" s="66">
        <f>AVERAGE([1]Alkalinity!$M$187:$M$188)</f>
        <v>8537.5</v>
      </c>
      <c r="T33" s="66">
        <f>AVERAGE([1]Alkalinity!$N$187:$N$188)</f>
        <v>5375</v>
      </c>
      <c r="U33" s="66">
        <f>AVERAGE([1]Alkalinity!$O$187:$O$188)</f>
        <v>2862.5</v>
      </c>
      <c r="W33" s="84">
        <v>8</v>
      </c>
      <c r="X33" s="84">
        <v>0</v>
      </c>
      <c r="Y33" s="85">
        <v>362157</v>
      </c>
      <c r="Z33" s="84">
        <v>3361</v>
      </c>
    </row>
    <row r="34" spans="2:26">
      <c r="B34" s="20"/>
      <c r="C34"/>
      <c r="F34" s="17"/>
      <c r="G34"/>
      <c r="H34"/>
      <c r="L34" s="20"/>
      <c r="O34" s="17"/>
    </row>
    <row r="35" spans="2:26" s="7" customFormat="1">
      <c r="B35" s="7" t="s">
        <v>22</v>
      </c>
      <c r="C35" s="67">
        <f>AVERAGE(C3:C33)</f>
        <v>1230.2356387959633</v>
      </c>
      <c r="D35" s="13">
        <f>AVERAGE(D3:D32)</f>
        <v>60.275000000000013</v>
      </c>
      <c r="E35" s="75">
        <f>AVERAGE(E3:E32)</f>
        <v>125.32142857142857</v>
      </c>
      <c r="F35" s="18" t="s">
        <v>22</v>
      </c>
      <c r="G35" s="67">
        <f>AVERAGE(G3:G32)</f>
        <v>646.74413314907576</v>
      </c>
      <c r="H35" s="67">
        <f>AVERAGE(H3:H33)</f>
        <v>2718.6283045477167</v>
      </c>
      <c r="I35" s="8"/>
      <c r="J35" s="14">
        <f>AVERAGE(J3:J32)</f>
        <v>5.0093749999999995</v>
      </c>
      <c r="K35" s="14">
        <f>AVERAGE(K3:K32)</f>
        <v>7.3355999999999995</v>
      </c>
      <c r="L35" s="21"/>
      <c r="M35" s="76"/>
      <c r="N35" s="15">
        <f>AVERAGE(N3:N30)</f>
        <v>0.43874999999999997</v>
      </c>
      <c r="O35" s="18" t="s">
        <v>22</v>
      </c>
      <c r="P35" s="78">
        <f>AVERAGE(P3:P30)</f>
        <v>5022.5</v>
      </c>
      <c r="Q35" s="78" t="s">
        <v>0</v>
      </c>
      <c r="R35" s="78">
        <f>AVERAGE(R3:R30)</f>
        <v>3402</v>
      </c>
      <c r="S35" s="78">
        <f>AVERAGE(S3:S30)</f>
        <v>6756.75</v>
      </c>
      <c r="T35" s="78">
        <f>AVERAGE(T3:T30)</f>
        <v>4482.625</v>
      </c>
      <c r="U35" s="78">
        <f>AVERAGE(U3:U30)</f>
        <v>1970.5</v>
      </c>
      <c r="V35" s="16"/>
      <c r="W35"/>
      <c r="X35"/>
      <c r="Y35"/>
      <c r="Z35"/>
    </row>
    <row r="36" spans="2:26" s="7" customFormat="1">
      <c r="B36" s="7" t="s">
        <v>23</v>
      </c>
      <c r="C36" s="67">
        <f>STDEV(C3:C33)</f>
        <v>270.20737578986825</v>
      </c>
      <c r="D36" s="13">
        <f>STDEV(D3:D32)</f>
        <v>0.84398744944152748</v>
      </c>
      <c r="E36" s="75">
        <f>STDEV(E3:E32)</f>
        <v>66.638912873745994</v>
      </c>
      <c r="F36" s="18" t="s">
        <v>23</v>
      </c>
      <c r="G36" s="67">
        <f>STDEV(G3:G32)</f>
        <v>55.100656654466668</v>
      </c>
      <c r="H36" s="67">
        <f>STDEV(H3:H33)</f>
        <v>605.44153774497454</v>
      </c>
      <c r="I36" s="8"/>
      <c r="J36" s="14">
        <f>STDEV(J3:J32)</f>
        <v>9.7916473943689367E-2</v>
      </c>
      <c r="K36" s="14">
        <f>STDEV(K3:K32)</f>
        <v>5.5157350673625809E-2</v>
      </c>
      <c r="L36" s="21"/>
      <c r="M36" s="76"/>
      <c r="N36" s="15">
        <f>STDEV(N3:N30)</f>
        <v>2.9545163168726393E-2</v>
      </c>
      <c r="O36" s="18" t="s">
        <v>23</v>
      </c>
      <c r="P36" s="78">
        <f>STDEV(P3:P30)</f>
        <v>131.28499533457736</v>
      </c>
      <c r="Q36" s="78" t="s">
        <v>0</v>
      </c>
      <c r="R36" s="78">
        <f>STDEV(R3:R30)</f>
        <v>100.16361614877944</v>
      </c>
      <c r="S36" s="78">
        <f>STDEV(S3:S30)</f>
        <v>155.85810854748624</v>
      </c>
      <c r="T36" s="78">
        <f>STDEV(T3:T30)</f>
        <v>89.066805451488676</v>
      </c>
      <c r="U36" s="78">
        <f>STDEV(U3:U30)</f>
        <v>110.79034253941087</v>
      </c>
      <c r="V36" s="16"/>
    </row>
    <row r="37" spans="2:26">
      <c r="W37" s="7"/>
      <c r="X37" s="7"/>
      <c r="Y37" s="7"/>
      <c r="Z37" s="7"/>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workbookViewId="0">
      <selection activeCell="G3" sqref="G3:H32"/>
    </sheetView>
  </sheetViews>
  <sheetFormatPr baseColWidth="10" defaultRowHeight="15" x14ac:dyDescent="0"/>
  <cols>
    <col min="1" max="1" width="11.6640625" customWidth="1"/>
    <col min="2" max="2" width="6.33203125" customWidth="1"/>
    <col min="3" max="3" width="10.83203125" style="66"/>
    <col min="4" max="4" width="10.83203125" style="2"/>
    <col min="5" max="5" width="10.83203125" style="22"/>
    <col min="6" max="6" width="4.6640625" style="2" customWidth="1"/>
    <col min="7" max="8" width="10.83203125" style="65"/>
    <col min="9" max="9" width="5" customWidth="1"/>
    <col min="10" max="10" width="10.6640625" style="3" customWidth="1"/>
    <col min="11" max="11" width="8" style="3" customWidth="1"/>
    <col min="12" max="12" width="4.6640625" style="22" customWidth="1"/>
    <col min="13" max="14" width="10.83203125" style="5"/>
    <col min="15" max="15" width="5.1640625" customWidth="1"/>
    <col min="16" max="18" width="10.83203125" style="66"/>
    <col min="19" max="21" width="8.6640625" style="66" customWidth="1"/>
    <col min="22" max="22" width="3.6640625" style="6" customWidth="1"/>
    <col min="23" max="24" width="9.83203125" customWidth="1"/>
  </cols>
  <sheetData>
    <row r="1" spans="1:26" s="9" customFormat="1" ht="18">
      <c r="A1" s="9" t="s">
        <v>100</v>
      </c>
      <c r="C1" s="63"/>
      <c r="D1" s="12"/>
      <c r="E1" s="19"/>
      <c r="F1" s="12"/>
      <c r="G1" s="70"/>
      <c r="H1" s="70"/>
      <c r="J1" s="72"/>
      <c r="K1" s="72"/>
      <c r="L1" s="19"/>
      <c r="M1" s="68"/>
      <c r="N1" s="68"/>
      <c r="P1" s="63"/>
      <c r="Q1" s="63"/>
      <c r="R1" s="63"/>
      <c r="S1" s="63"/>
      <c r="T1" s="63"/>
      <c r="U1" s="63"/>
      <c r="V1" s="11"/>
    </row>
    <row r="2" spans="1:26" s="23" customFormat="1" ht="60">
      <c r="A2" s="23" t="s">
        <v>12</v>
      </c>
      <c r="B2" s="24" t="s">
        <v>101</v>
      </c>
      <c r="C2" s="64" t="s">
        <v>28</v>
      </c>
      <c r="D2" s="26" t="s">
        <v>9</v>
      </c>
      <c r="E2" s="74" t="s">
        <v>10</v>
      </c>
      <c r="F2" s="27" t="s">
        <v>24</v>
      </c>
      <c r="G2" s="71" t="s">
        <v>29</v>
      </c>
      <c r="H2" s="71" t="s">
        <v>30</v>
      </c>
      <c r="I2" s="27" t="s">
        <v>24</v>
      </c>
      <c r="J2" s="28" t="s">
        <v>1</v>
      </c>
      <c r="K2" s="28" t="s">
        <v>11</v>
      </c>
      <c r="L2" s="30" t="s">
        <v>24</v>
      </c>
      <c r="M2" s="69" t="s">
        <v>13</v>
      </c>
      <c r="N2" s="69" t="s">
        <v>14</v>
      </c>
      <c r="O2" s="27" t="s">
        <v>24</v>
      </c>
      <c r="P2" s="77" t="s">
        <v>15</v>
      </c>
      <c r="Q2" s="77" t="s">
        <v>16</v>
      </c>
      <c r="R2" s="77" t="s">
        <v>17</v>
      </c>
      <c r="S2" s="77" t="s">
        <v>18</v>
      </c>
      <c r="T2" s="77" t="s">
        <v>19</v>
      </c>
      <c r="U2" s="77" t="s">
        <v>20</v>
      </c>
      <c r="V2" s="32"/>
      <c r="W2" s="23" t="s">
        <v>5</v>
      </c>
      <c r="X2" s="23" t="s">
        <v>6</v>
      </c>
      <c r="Y2" s="23" t="s">
        <v>7</v>
      </c>
      <c r="Z2" s="23" t="s">
        <v>8</v>
      </c>
    </row>
    <row r="3" spans="1:26" ht="14" customHeight="1">
      <c r="B3" s="20">
        <v>1</v>
      </c>
      <c r="C3">
        <v>1217.6199999999999</v>
      </c>
      <c r="D3" s="80">
        <v>59.4</v>
      </c>
      <c r="E3" s="91">
        <v>304</v>
      </c>
      <c r="F3" s="20">
        <v>1</v>
      </c>
      <c r="G3" s="6">
        <v>604.29999999999995</v>
      </c>
      <c r="H3" s="6">
        <v>4470</v>
      </c>
      <c r="I3" s="20">
        <v>1</v>
      </c>
      <c r="J3" s="3">
        <v>4.9000000000000004</v>
      </c>
      <c r="K3" s="3">
        <v>7.27</v>
      </c>
      <c r="L3" s="20">
        <v>1</v>
      </c>
      <c r="O3" s="20">
        <v>1</v>
      </c>
      <c r="P3" s="65"/>
      <c r="Q3" s="65"/>
      <c r="R3" s="65"/>
      <c r="S3" s="65"/>
      <c r="T3" s="65"/>
      <c r="U3" s="65"/>
      <c r="W3" s="84">
        <v>9</v>
      </c>
      <c r="X3" s="84">
        <v>0</v>
      </c>
      <c r="Y3" s="85">
        <v>363457</v>
      </c>
      <c r="Z3" s="84">
        <v>3374</v>
      </c>
    </row>
    <row r="4" spans="1:26" ht="14" customHeight="1">
      <c r="B4" s="20">
        <v>2</v>
      </c>
      <c r="C4">
        <v>1830.08</v>
      </c>
      <c r="D4" s="80">
        <v>60.8</v>
      </c>
      <c r="E4" s="91">
        <v>193</v>
      </c>
      <c r="F4" s="20">
        <v>2</v>
      </c>
      <c r="G4" s="6">
        <v>617.9</v>
      </c>
      <c r="H4" s="6">
        <v>4745</v>
      </c>
      <c r="I4" s="20">
        <v>2</v>
      </c>
      <c r="J4" s="3">
        <v>4.83</v>
      </c>
      <c r="K4" s="3">
        <v>7.28</v>
      </c>
      <c r="L4" s="20">
        <v>2</v>
      </c>
      <c r="O4" s="20">
        <v>2</v>
      </c>
      <c r="P4" s="65"/>
      <c r="Q4" s="65"/>
      <c r="R4" s="65"/>
      <c r="S4" s="65"/>
      <c r="T4" s="65"/>
      <c r="U4" s="65"/>
      <c r="W4" s="84">
        <v>9</v>
      </c>
      <c r="X4" s="84">
        <v>0</v>
      </c>
      <c r="Y4" s="85">
        <v>365457</v>
      </c>
      <c r="Z4" s="84">
        <v>3389</v>
      </c>
    </row>
    <row r="5" spans="1:26" ht="14" customHeight="1">
      <c r="B5" s="20">
        <v>3</v>
      </c>
      <c r="C5">
        <v>1704.88</v>
      </c>
      <c r="D5" s="80">
        <v>62.2</v>
      </c>
      <c r="E5" s="91">
        <v>119</v>
      </c>
      <c r="F5" s="20">
        <v>3</v>
      </c>
      <c r="G5" s="6">
        <v>510.7</v>
      </c>
      <c r="H5" s="6">
        <v>4538</v>
      </c>
      <c r="I5" s="20">
        <v>3</v>
      </c>
      <c r="J5" s="3">
        <v>4.88</v>
      </c>
      <c r="K5" s="3">
        <v>7.25</v>
      </c>
      <c r="L5" s="20">
        <v>3</v>
      </c>
      <c r="O5" s="20">
        <v>3</v>
      </c>
      <c r="P5" s="65"/>
      <c r="Q5" s="65"/>
      <c r="R5" s="65"/>
      <c r="S5" s="65"/>
      <c r="T5" s="65"/>
      <c r="U5" s="65"/>
      <c r="W5" s="84">
        <v>7</v>
      </c>
      <c r="X5" s="84">
        <v>0</v>
      </c>
      <c r="Y5" s="85">
        <v>366957</v>
      </c>
      <c r="Z5" s="84">
        <v>3041</v>
      </c>
    </row>
    <row r="6" spans="1:26" ht="14" customHeight="1">
      <c r="A6" t="s">
        <v>102</v>
      </c>
      <c r="B6" s="20">
        <v>4</v>
      </c>
      <c r="C6">
        <v>943.22</v>
      </c>
      <c r="D6" s="80">
        <v>63.4</v>
      </c>
      <c r="E6" s="91">
        <v>76</v>
      </c>
      <c r="F6" s="20">
        <v>4</v>
      </c>
      <c r="G6" s="6">
        <v>650.70000000000005</v>
      </c>
      <c r="H6" s="6">
        <v>2383</v>
      </c>
      <c r="I6" s="20">
        <v>4</v>
      </c>
      <c r="J6" s="3">
        <v>4.7699999999999996</v>
      </c>
      <c r="K6" s="3">
        <v>7.28</v>
      </c>
      <c r="L6" s="20">
        <v>4</v>
      </c>
      <c r="O6" s="20">
        <v>4</v>
      </c>
      <c r="P6" s="65"/>
      <c r="Q6" s="65"/>
      <c r="R6" s="65"/>
      <c r="S6" s="65"/>
      <c r="T6" s="65"/>
      <c r="U6" s="65"/>
      <c r="W6" s="84">
        <v>4</v>
      </c>
      <c r="X6" s="93">
        <v>1</v>
      </c>
      <c r="Y6" s="85">
        <v>367957</v>
      </c>
      <c r="Z6" s="84">
        <v>3408</v>
      </c>
    </row>
    <row r="7" spans="1:26" ht="14" customHeight="1">
      <c r="A7" t="s">
        <v>102</v>
      </c>
      <c r="B7" s="20">
        <v>5</v>
      </c>
      <c r="C7">
        <v>3023.25</v>
      </c>
      <c r="D7" s="80">
        <v>64.3</v>
      </c>
      <c r="E7" s="91">
        <v>159</v>
      </c>
      <c r="F7" s="20">
        <v>5</v>
      </c>
      <c r="G7" s="6">
        <v>599.70000000000005</v>
      </c>
      <c r="H7" s="6">
        <v>777</v>
      </c>
      <c r="I7" s="20">
        <v>5</v>
      </c>
      <c r="J7" s="3">
        <v>4.7699999999999996</v>
      </c>
      <c r="K7" s="3">
        <v>7.23</v>
      </c>
      <c r="L7" s="20">
        <v>5</v>
      </c>
      <c r="O7" s="20">
        <v>5</v>
      </c>
      <c r="P7" s="65"/>
      <c r="Q7" s="65"/>
      <c r="R7" s="65"/>
      <c r="S7" s="65"/>
      <c r="T7" s="65"/>
      <c r="U7" s="65"/>
      <c r="W7" s="84">
        <v>4</v>
      </c>
      <c r="X7" s="93">
        <v>1</v>
      </c>
      <c r="Y7" s="85">
        <v>368757</v>
      </c>
      <c r="Z7" s="84">
        <v>3416</v>
      </c>
    </row>
    <row r="8" spans="1:26" ht="14" customHeight="1">
      <c r="A8" t="s">
        <v>102</v>
      </c>
      <c r="B8" s="20">
        <v>6</v>
      </c>
      <c r="C8">
        <v>1304.48</v>
      </c>
      <c r="D8" s="80">
        <v>65.5</v>
      </c>
      <c r="E8" s="91">
        <v>51</v>
      </c>
      <c r="F8" s="20">
        <v>6</v>
      </c>
      <c r="G8" s="6">
        <v>647.4</v>
      </c>
      <c r="H8" s="6">
        <v>4864</v>
      </c>
      <c r="I8" s="20">
        <v>6</v>
      </c>
      <c r="J8" s="3">
        <v>4.8</v>
      </c>
      <c r="K8" s="3">
        <v>7.22</v>
      </c>
      <c r="L8" s="20">
        <v>6</v>
      </c>
      <c r="O8" s="20">
        <v>6</v>
      </c>
      <c r="P8" s="65"/>
      <c r="Q8" s="65"/>
      <c r="R8" s="65"/>
      <c r="S8" s="65"/>
      <c r="T8" s="65"/>
      <c r="U8" s="65"/>
      <c r="W8" s="84">
        <v>7</v>
      </c>
      <c r="X8" s="93">
        <v>1</v>
      </c>
      <c r="Y8" s="85">
        <v>370157</v>
      </c>
      <c r="Z8" s="84">
        <v>3430</v>
      </c>
    </row>
    <row r="9" spans="1:26" ht="14" customHeight="1">
      <c r="B9" s="20">
        <v>7</v>
      </c>
      <c r="C9">
        <v>1521.46</v>
      </c>
      <c r="D9" s="80">
        <v>65.5</v>
      </c>
      <c r="E9" s="91">
        <v>149</v>
      </c>
      <c r="F9" s="20">
        <v>7</v>
      </c>
      <c r="G9" s="6">
        <v>636.70000000000005</v>
      </c>
      <c r="H9" s="6">
        <v>5491</v>
      </c>
      <c r="I9" s="20">
        <v>7</v>
      </c>
      <c r="J9" s="3">
        <v>5.04</v>
      </c>
      <c r="K9" s="3">
        <v>7.15</v>
      </c>
      <c r="L9" s="20">
        <v>7</v>
      </c>
      <c r="N9" s="5">
        <v>0.61</v>
      </c>
      <c r="O9" s="20">
        <v>7</v>
      </c>
      <c r="P9" s="65">
        <f>AVERAGE([1]Alkalinity!$M$193:$M$194)</f>
        <v>5350</v>
      </c>
      <c r="Q9" s="65"/>
      <c r="R9" s="65">
        <f>AVERAGE([1]Alkalinity!$O$193:$O$194)</f>
        <v>3912.5</v>
      </c>
      <c r="S9" s="65">
        <f>AVERAGE([1]Alkalinity!$M$191:$M$192)</f>
        <v>6900</v>
      </c>
      <c r="T9" s="65">
        <f>AVERAGE([1]Alkalinity!$N$191:$N$192)</f>
        <v>4137.5</v>
      </c>
      <c r="U9" s="65">
        <f>AVERAGE([1]Alkalinity!$O$191:$O$192)</f>
        <v>2499.9999999999995</v>
      </c>
      <c r="W9" s="84">
        <v>8</v>
      </c>
      <c r="X9" s="93">
        <v>2</v>
      </c>
      <c r="Y9" s="85">
        <v>371757</v>
      </c>
      <c r="Z9" s="84">
        <v>3446</v>
      </c>
    </row>
    <row r="10" spans="1:26" ht="14" customHeight="1">
      <c r="A10" t="s">
        <v>103</v>
      </c>
      <c r="B10" s="20">
        <v>8</v>
      </c>
      <c r="C10">
        <v>1457.44</v>
      </c>
      <c r="D10" s="80">
        <v>65.7</v>
      </c>
      <c r="E10" s="91">
        <v>133</v>
      </c>
      <c r="F10" s="20">
        <v>8</v>
      </c>
      <c r="G10" s="6">
        <v>532</v>
      </c>
      <c r="H10" s="6">
        <v>5532</v>
      </c>
      <c r="I10" s="20">
        <v>8</v>
      </c>
      <c r="J10" s="3">
        <v>4.93</v>
      </c>
      <c r="K10" s="3">
        <v>7.18</v>
      </c>
      <c r="L10" s="20">
        <v>8</v>
      </c>
      <c r="O10" s="20">
        <v>8</v>
      </c>
      <c r="P10" s="65"/>
      <c r="Q10" s="65"/>
      <c r="R10" s="65"/>
      <c r="S10" s="65"/>
      <c r="T10" s="65"/>
      <c r="U10" s="65"/>
      <c r="W10" s="84">
        <v>5</v>
      </c>
      <c r="X10" s="93">
        <v>9</v>
      </c>
      <c r="Y10" s="85">
        <v>373057</v>
      </c>
      <c r="Z10" s="84">
        <v>3461</v>
      </c>
    </row>
    <row r="11" spans="1:26" ht="14" customHeight="1">
      <c r="A11" t="s">
        <v>104</v>
      </c>
      <c r="B11" s="20">
        <v>9</v>
      </c>
      <c r="C11">
        <v>1397.12</v>
      </c>
      <c r="D11" s="80">
        <v>65.599999999999994</v>
      </c>
      <c r="E11" s="91">
        <v>159</v>
      </c>
      <c r="F11" s="20">
        <v>9</v>
      </c>
      <c r="G11" s="6">
        <v>597.29999999999995</v>
      </c>
      <c r="H11" s="6">
        <v>5383</v>
      </c>
      <c r="I11" s="20">
        <v>9</v>
      </c>
      <c r="L11" s="20">
        <v>9</v>
      </c>
      <c r="O11" s="20">
        <v>9</v>
      </c>
      <c r="P11" s="65"/>
      <c r="Q11" s="65"/>
      <c r="R11" s="65"/>
      <c r="S11" s="65"/>
      <c r="T11" s="65"/>
      <c r="U11" s="65"/>
      <c r="W11" s="84">
        <v>5</v>
      </c>
      <c r="X11" s="93">
        <v>24</v>
      </c>
      <c r="Y11" s="85">
        <v>374557</v>
      </c>
      <c r="Z11" s="84">
        <v>3476</v>
      </c>
    </row>
    <row r="12" spans="1:26" ht="14" customHeight="1">
      <c r="B12" s="20">
        <v>10</v>
      </c>
      <c r="C12"/>
      <c r="D12" s="80"/>
      <c r="E12" s="4"/>
      <c r="F12" s="20">
        <v>10</v>
      </c>
      <c r="G12" s="6"/>
      <c r="H12" s="6"/>
      <c r="I12" s="20">
        <v>10</v>
      </c>
      <c r="L12" s="20">
        <v>10</v>
      </c>
      <c r="O12" s="20">
        <v>10</v>
      </c>
      <c r="P12" s="65"/>
      <c r="Q12" s="65"/>
      <c r="R12" s="65"/>
      <c r="S12" s="65"/>
      <c r="T12" s="65"/>
      <c r="U12" s="65"/>
      <c r="W12" s="84"/>
      <c r="X12" s="84"/>
      <c r="Y12" s="85"/>
      <c r="Z12" s="84"/>
    </row>
    <row r="13" spans="1:26" ht="14" customHeight="1">
      <c r="A13" t="s">
        <v>104</v>
      </c>
      <c r="B13" s="20">
        <v>11</v>
      </c>
      <c r="C13">
        <v>815.59</v>
      </c>
      <c r="D13" s="80">
        <v>65.599999999999994</v>
      </c>
      <c r="E13" s="91">
        <v>46</v>
      </c>
      <c r="F13" s="20">
        <v>11</v>
      </c>
      <c r="G13" s="6">
        <v>631.70000000000005</v>
      </c>
      <c r="H13" s="6">
        <v>2844</v>
      </c>
      <c r="I13" s="20">
        <v>11</v>
      </c>
      <c r="J13" s="3">
        <v>4.7300000000000004</v>
      </c>
      <c r="K13" s="3">
        <v>7.12</v>
      </c>
      <c r="L13" s="20">
        <v>11</v>
      </c>
      <c r="O13" s="20">
        <v>11</v>
      </c>
      <c r="P13" s="65"/>
      <c r="Q13" s="65"/>
      <c r="R13" s="65"/>
      <c r="S13" s="65"/>
      <c r="T13" s="65"/>
      <c r="U13" s="65"/>
      <c r="W13" s="84">
        <v>6</v>
      </c>
      <c r="X13" s="93">
        <v>60</v>
      </c>
      <c r="Y13" s="85">
        <v>376257</v>
      </c>
      <c r="Z13" s="84">
        <v>3492</v>
      </c>
    </row>
    <row r="14" spans="1:26" ht="14" customHeight="1">
      <c r="B14" s="20">
        <v>12</v>
      </c>
      <c r="C14"/>
      <c r="D14" s="80">
        <v>64.400000000000006</v>
      </c>
      <c r="E14" s="91">
        <v>132</v>
      </c>
      <c r="F14" s="20">
        <v>12</v>
      </c>
      <c r="G14" s="6"/>
      <c r="H14" s="6"/>
      <c r="I14" s="20">
        <v>12</v>
      </c>
      <c r="J14" s="3">
        <v>4.88</v>
      </c>
      <c r="K14" s="3">
        <v>7.4</v>
      </c>
      <c r="L14" s="20">
        <v>12</v>
      </c>
      <c r="N14" s="5">
        <f>AVERAGE(0.62,0.66,0.59)</f>
        <v>0.62333333333333341</v>
      </c>
      <c r="O14" s="20">
        <v>12</v>
      </c>
      <c r="P14" s="65">
        <f>AVERAGE([1]Alkalinity!$M$198:$M$200)</f>
        <v>4808.333333333333</v>
      </c>
      <c r="Q14" s="65"/>
      <c r="R14" s="65">
        <f>AVERAGE([1]Alkalinity!$O$198:$O$200)</f>
        <v>3258.3333333333335</v>
      </c>
      <c r="S14" s="65">
        <f>AVERAGE([1]Alkalinity!$M$195:$M$197)</f>
        <v>6041.666666666667</v>
      </c>
      <c r="T14" s="65">
        <f>AVERAGE([1]Alkalinity!$N$195:$N$197)</f>
        <v>3541.6666666666665</v>
      </c>
      <c r="U14" s="65">
        <f>AVERAGE([1]Alkalinity!$O$195:$O$197)</f>
        <v>2216.6666666666665</v>
      </c>
    </row>
    <row r="15" spans="1:26" ht="14" customHeight="1">
      <c r="A15" t="s">
        <v>105</v>
      </c>
      <c r="B15" s="20">
        <v>13</v>
      </c>
      <c r="C15">
        <v>402.51</v>
      </c>
      <c r="D15" s="80">
        <v>63.9</v>
      </c>
      <c r="E15" s="91">
        <v>168</v>
      </c>
      <c r="F15" s="20">
        <v>13</v>
      </c>
      <c r="G15" s="6">
        <v>603.79999999999995</v>
      </c>
      <c r="H15" s="6">
        <v>1526</v>
      </c>
      <c r="I15" s="20">
        <v>13</v>
      </c>
      <c r="J15" s="3">
        <v>4.92</v>
      </c>
      <c r="K15" s="3">
        <v>7.08</v>
      </c>
      <c r="L15" s="20">
        <v>13</v>
      </c>
      <c r="O15" s="20">
        <v>13</v>
      </c>
      <c r="P15" s="65"/>
      <c r="Q15" s="65"/>
      <c r="R15" s="65"/>
      <c r="S15" s="65"/>
      <c r="T15" s="65"/>
      <c r="U15" s="65"/>
      <c r="W15" s="84">
        <v>3</v>
      </c>
      <c r="X15" s="93">
        <v>77</v>
      </c>
      <c r="Y15" s="85">
        <v>377057</v>
      </c>
      <c r="Z15" s="84">
        <v>3501</v>
      </c>
    </row>
    <row r="16" spans="1:26" ht="14" customHeight="1">
      <c r="A16" t="s">
        <v>105</v>
      </c>
      <c r="B16" s="20">
        <v>14</v>
      </c>
      <c r="C16">
        <v>0</v>
      </c>
      <c r="D16" s="80"/>
      <c r="E16" s="4"/>
      <c r="F16" s="20">
        <v>14</v>
      </c>
      <c r="G16" s="6">
        <v>528.1</v>
      </c>
      <c r="H16" s="6">
        <v>0</v>
      </c>
      <c r="I16" s="20">
        <v>14</v>
      </c>
      <c r="J16" s="3">
        <v>4.88</v>
      </c>
      <c r="K16" s="3">
        <v>7.12</v>
      </c>
      <c r="L16" s="20">
        <v>14</v>
      </c>
      <c r="O16" s="20">
        <v>14</v>
      </c>
      <c r="P16" s="65"/>
      <c r="Q16" s="65"/>
      <c r="R16" s="65"/>
      <c r="S16" s="65"/>
      <c r="T16" s="65"/>
      <c r="U16" s="65"/>
      <c r="W16" s="84">
        <v>0</v>
      </c>
      <c r="X16" s="93">
        <v>39</v>
      </c>
      <c r="Y16" s="85">
        <v>377057</v>
      </c>
      <c r="Z16" s="84">
        <v>3501</v>
      </c>
    </row>
    <row r="17" spans="1:26" ht="14" customHeight="1">
      <c r="A17" t="s">
        <v>105</v>
      </c>
      <c r="B17" s="20">
        <v>15</v>
      </c>
      <c r="C17">
        <v>0</v>
      </c>
      <c r="D17" s="80"/>
      <c r="E17" s="4"/>
      <c r="F17" s="20">
        <v>15</v>
      </c>
      <c r="G17" s="6">
        <v>627.4</v>
      </c>
      <c r="H17" s="6">
        <v>0</v>
      </c>
      <c r="I17" s="20">
        <v>15</v>
      </c>
      <c r="J17" s="3">
        <v>4.92</v>
      </c>
      <c r="K17" s="3">
        <v>7.13</v>
      </c>
      <c r="L17" s="20">
        <v>15</v>
      </c>
      <c r="O17" s="20">
        <v>15</v>
      </c>
      <c r="P17" s="65"/>
      <c r="Q17" s="65"/>
      <c r="R17" s="65"/>
      <c r="S17" s="65"/>
      <c r="T17" s="65"/>
      <c r="U17" s="65"/>
      <c r="V17"/>
      <c r="W17" s="84">
        <v>0</v>
      </c>
      <c r="X17" s="93">
        <v>43</v>
      </c>
      <c r="Y17" s="85">
        <v>377057</v>
      </c>
      <c r="Z17" s="84">
        <v>3501</v>
      </c>
    </row>
    <row r="18" spans="1:26" ht="14" customHeight="1">
      <c r="A18" t="s">
        <v>105</v>
      </c>
      <c r="B18" s="20">
        <v>16</v>
      </c>
      <c r="C18">
        <v>0</v>
      </c>
      <c r="D18" s="80"/>
      <c r="E18" s="4"/>
      <c r="F18" s="20">
        <v>16</v>
      </c>
      <c r="G18" s="6">
        <v>662.1</v>
      </c>
      <c r="H18" s="6">
        <v>0</v>
      </c>
      <c r="I18" s="20">
        <v>16</v>
      </c>
      <c r="J18" s="3">
        <v>4.87</v>
      </c>
      <c r="L18" s="20">
        <v>16</v>
      </c>
      <c r="N18" s="5">
        <f>AVERAGE(0.53,0.47)</f>
        <v>0.5</v>
      </c>
      <c r="O18" s="20">
        <v>16</v>
      </c>
      <c r="P18" s="65">
        <v>5125</v>
      </c>
      <c r="Q18" s="65"/>
      <c r="R18" s="65">
        <v>3775</v>
      </c>
      <c r="S18" s="65">
        <f>AVERAGE([1]Alkalinity!$M$201:$M$202)</f>
        <v>6162.5</v>
      </c>
      <c r="T18" s="65">
        <f>AVERAGE([1]Alkalinity!$N$201:$N$202)</f>
        <v>3900</v>
      </c>
      <c r="U18" s="65">
        <f>AVERAGE([1]Alkalinity!$O$201:$O$202)</f>
        <v>1950</v>
      </c>
      <c r="V18"/>
      <c r="W18" s="84">
        <v>0</v>
      </c>
      <c r="X18" s="93">
        <v>42</v>
      </c>
      <c r="Y18" s="85">
        <v>377057</v>
      </c>
      <c r="Z18" s="84">
        <v>3501</v>
      </c>
    </row>
    <row r="19" spans="1:26" ht="14" customHeight="1">
      <c r="A19" t="s">
        <v>105</v>
      </c>
      <c r="B19" s="20">
        <v>17</v>
      </c>
      <c r="C19">
        <v>0</v>
      </c>
      <c r="D19" s="80"/>
      <c r="E19" s="4"/>
      <c r="F19" s="20">
        <v>17</v>
      </c>
      <c r="G19" s="6">
        <v>618.9</v>
      </c>
      <c r="H19" s="6">
        <v>0</v>
      </c>
      <c r="I19" s="20">
        <v>17</v>
      </c>
      <c r="J19" s="3">
        <v>4.92</v>
      </c>
      <c r="K19" s="3">
        <v>7.11</v>
      </c>
      <c r="L19" s="20">
        <v>17</v>
      </c>
      <c r="O19" s="20">
        <v>17</v>
      </c>
      <c r="P19" s="65"/>
      <c r="Q19" s="65"/>
      <c r="R19" s="65"/>
      <c r="S19" s="65"/>
      <c r="T19" s="65"/>
      <c r="U19" s="65"/>
      <c r="V19"/>
      <c r="W19" s="84">
        <v>0</v>
      </c>
      <c r="X19" s="93">
        <v>40</v>
      </c>
      <c r="Y19" s="85">
        <v>377057</v>
      </c>
      <c r="Z19" s="84">
        <v>3501</v>
      </c>
    </row>
    <row r="20" spans="1:26" ht="14" customHeight="1">
      <c r="A20" t="s">
        <v>106</v>
      </c>
      <c r="B20" s="20">
        <v>18</v>
      </c>
      <c r="C20">
        <v>0</v>
      </c>
      <c r="D20" s="80"/>
      <c r="E20" s="4"/>
      <c r="F20" s="20">
        <v>18</v>
      </c>
      <c r="G20" s="6">
        <v>687.6</v>
      </c>
      <c r="H20" s="6">
        <v>0</v>
      </c>
      <c r="I20" s="20">
        <v>18</v>
      </c>
      <c r="J20" s="3">
        <v>5.0599999999999996</v>
      </c>
      <c r="K20" s="3">
        <v>7.12</v>
      </c>
      <c r="L20" s="20">
        <v>18</v>
      </c>
      <c r="O20" s="20">
        <v>18</v>
      </c>
      <c r="P20" s="65"/>
      <c r="Q20" s="65"/>
      <c r="R20" s="65"/>
      <c r="S20" s="65"/>
      <c r="T20" s="65"/>
      <c r="U20" s="65"/>
      <c r="V20"/>
      <c r="W20" s="84">
        <v>0</v>
      </c>
      <c r="X20" s="93">
        <v>39</v>
      </c>
      <c r="Y20" s="85">
        <v>377057</v>
      </c>
      <c r="Z20" s="84">
        <v>3501</v>
      </c>
    </row>
    <row r="21" spans="1:26" ht="14" customHeight="1">
      <c r="B21" s="20">
        <v>19</v>
      </c>
      <c r="C21">
        <v>791.76</v>
      </c>
      <c r="D21" s="80">
        <v>62.2</v>
      </c>
      <c r="E21" s="91">
        <v>72</v>
      </c>
      <c r="F21" s="20">
        <v>19</v>
      </c>
      <c r="G21" s="6">
        <v>642.4</v>
      </c>
      <c r="H21" s="6">
        <v>3031</v>
      </c>
      <c r="I21" s="20">
        <v>19</v>
      </c>
      <c r="J21" s="3">
        <v>5.0199999999999996</v>
      </c>
      <c r="K21" s="3">
        <v>7.09</v>
      </c>
      <c r="L21" s="20">
        <v>19</v>
      </c>
      <c r="O21" s="20">
        <v>19</v>
      </c>
      <c r="P21" s="65"/>
      <c r="Q21" s="65"/>
      <c r="R21" s="65"/>
      <c r="S21" s="65"/>
      <c r="T21" s="65"/>
      <c r="U21" s="65"/>
      <c r="V21"/>
      <c r="W21" s="84">
        <v>6</v>
      </c>
      <c r="X21" s="93">
        <v>11</v>
      </c>
      <c r="Y21" s="85">
        <v>377857</v>
      </c>
      <c r="Z21" s="84">
        <v>3509</v>
      </c>
    </row>
    <row r="22" spans="1:26" ht="14" customHeight="1">
      <c r="B22" s="20">
        <v>20</v>
      </c>
      <c r="C22">
        <v>1178.9000000000001</v>
      </c>
      <c r="D22" s="80">
        <v>63</v>
      </c>
      <c r="E22" s="91">
        <v>208</v>
      </c>
      <c r="F22" s="20">
        <v>20</v>
      </c>
      <c r="G22" s="6">
        <v>620.4</v>
      </c>
      <c r="H22" s="6">
        <v>4397</v>
      </c>
      <c r="I22" s="20">
        <v>20</v>
      </c>
      <c r="J22" s="3">
        <v>5.15</v>
      </c>
      <c r="K22" s="3">
        <v>7.01</v>
      </c>
      <c r="L22" s="20">
        <v>20</v>
      </c>
      <c r="O22" s="20">
        <v>20</v>
      </c>
      <c r="P22" s="65"/>
      <c r="Q22" s="65"/>
      <c r="R22" s="65"/>
      <c r="S22" s="65"/>
      <c r="T22" s="65"/>
      <c r="U22" s="65"/>
      <c r="V22"/>
      <c r="W22" s="84">
        <v>9</v>
      </c>
      <c r="X22" s="84">
        <v>0</v>
      </c>
      <c r="Y22" s="85">
        <v>379057</v>
      </c>
      <c r="Z22" s="84">
        <v>3522</v>
      </c>
    </row>
    <row r="23" spans="1:26" ht="14" customHeight="1">
      <c r="B23" s="20">
        <v>21</v>
      </c>
      <c r="C23">
        <v>1318.66</v>
      </c>
      <c r="D23" s="80">
        <v>64.5</v>
      </c>
      <c r="E23" s="91">
        <v>18</v>
      </c>
      <c r="F23" s="20">
        <v>21</v>
      </c>
      <c r="G23" s="6">
        <v>640.79999999999995</v>
      </c>
      <c r="H23" s="6">
        <v>4838</v>
      </c>
      <c r="I23" s="20">
        <v>21</v>
      </c>
      <c r="J23" s="3">
        <v>5.08</v>
      </c>
      <c r="L23" s="20">
        <v>21</v>
      </c>
      <c r="O23" s="20">
        <v>21</v>
      </c>
      <c r="P23" s="65"/>
      <c r="Q23" s="65"/>
      <c r="R23" s="65"/>
      <c r="S23" s="65"/>
      <c r="T23" s="65"/>
      <c r="U23" s="65"/>
      <c r="V23"/>
      <c r="W23" s="84">
        <v>7</v>
      </c>
      <c r="X23" s="84">
        <v>0</v>
      </c>
      <c r="Y23" s="85">
        <v>380357</v>
      </c>
      <c r="Z23" s="84">
        <v>3536</v>
      </c>
    </row>
    <row r="24" spans="1:26" ht="14" customHeight="1">
      <c r="B24" s="20">
        <v>22</v>
      </c>
      <c r="C24">
        <v>1363.49</v>
      </c>
      <c r="D24" s="80">
        <v>64.900000000000006</v>
      </c>
      <c r="E24" s="91">
        <v>118</v>
      </c>
      <c r="F24" s="20">
        <v>22</v>
      </c>
      <c r="G24" s="6">
        <v>638.29999999999995</v>
      </c>
      <c r="H24" s="6">
        <v>5043</v>
      </c>
      <c r="I24" s="20">
        <v>22</v>
      </c>
      <c r="J24" s="3">
        <v>5.16</v>
      </c>
      <c r="K24" s="3">
        <v>6.98</v>
      </c>
      <c r="L24" s="20">
        <v>22</v>
      </c>
      <c r="N24" s="5">
        <f>0.63</f>
        <v>0.63</v>
      </c>
      <c r="O24" s="20">
        <v>22</v>
      </c>
      <c r="P24" s="65">
        <f>AVERAGE([1]Alkalinity!$M$206:$M$207)</f>
        <v>5400</v>
      </c>
      <c r="Q24" s="65"/>
      <c r="R24" s="65">
        <f>AVERAGE([1]Alkalinity!$O$206:$O$207)</f>
        <v>4175</v>
      </c>
      <c r="S24" s="65">
        <f>AVERAGE([1]Alkalinity!$M$204:$M$205)</f>
        <v>5775</v>
      </c>
      <c r="T24" s="65">
        <f>AVERAGE([1]Alkalinity!$N$204:$N$205)</f>
        <v>3387.5</v>
      </c>
      <c r="U24" s="65">
        <f>AVERAGE([1]Alkalinity!$O$204:$O$205)</f>
        <v>2137.5</v>
      </c>
      <c r="V24"/>
      <c r="W24" s="84">
        <v>7</v>
      </c>
      <c r="X24" s="84">
        <v>0</v>
      </c>
      <c r="Y24" s="85">
        <v>381757</v>
      </c>
      <c r="Z24" s="84">
        <v>3550</v>
      </c>
    </row>
    <row r="25" spans="1:26" ht="14" customHeight="1">
      <c r="B25" s="20">
        <v>23</v>
      </c>
      <c r="C25">
        <v>1330.14</v>
      </c>
      <c r="D25" s="80">
        <v>64.599999999999994</v>
      </c>
      <c r="E25" s="91">
        <v>73</v>
      </c>
      <c r="F25" s="20">
        <v>23</v>
      </c>
      <c r="G25" s="6">
        <v>655.29999999999995</v>
      </c>
      <c r="H25" s="6">
        <v>4887</v>
      </c>
      <c r="I25" s="20">
        <v>23</v>
      </c>
      <c r="J25" s="3">
        <v>5.13</v>
      </c>
      <c r="K25" s="3">
        <v>7.06</v>
      </c>
      <c r="L25" s="20">
        <v>23</v>
      </c>
      <c r="O25" s="20">
        <v>23</v>
      </c>
      <c r="P25" s="65"/>
      <c r="Q25" s="65"/>
      <c r="R25" s="65"/>
      <c r="S25" s="65"/>
      <c r="T25" s="65"/>
      <c r="U25" s="65"/>
      <c r="V25"/>
      <c r="W25" s="84">
        <v>8</v>
      </c>
      <c r="X25" s="84">
        <v>0</v>
      </c>
      <c r="Y25" s="85">
        <v>383057</v>
      </c>
      <c r="Z25" s="84">
        <v>3564</v>
      </c>
    </row>
    <row r="26" spans="1:26" ht="14" customHeight="1">
      <c r="B26" s="20">
        <v>24</v>
      </c>
      <c r="C26">
        <v>1437.97</v>
      </c>
      <c r="D26" s="80">
        <v>65.099999999999994</v>
      </c>
      <c r="E26" s="91">
        <v>7</v>
      </c>
      <c r="F26" s="20">
        <v>24</v>
      </c>
      <c r="G26" s="6">
        <v>596.29999999999995</v>
      </c>
      <c r="H26" s="6">
        <v>5334</v>
      </c>
      <c r="I26" s="20">
        <v>24</v>
      </c>
      <c r="L26" s="20">
        <v>24</v>
      </c>
      <c r="O26" s="20">
        <v>24</v>
      </c>
      <c r="P26" s="65"/>
      <c r="Q26" s="65"/>
      <c r="R26" s="65"/>
      <c r="S26" s="65"/>
      <c r="T26" s="65"/>
      <c r="U26" s="65"/>
      <c r="V26"/>
      <c r="W26" s="84">
        <v>7</v>
      </c>
      <c r="X26" s="84">
        <v>0</v>
      </c>
      <c r="Y26" s="85">
        <v>384557</v>
      </c>
      <c r="Z26" s="84">
        <v>3579</v>
      </c>
    </row>
    <row r="27" spans="1:26" ht="14" customHeight="1">
      <c r="B27" s="20">
        <v>25</v>
      </c>
      <c r="C27">
        <v>1484.44</v>
      </c>
      <c r="D27" s="80">
        <v>64.2</v>
      </c>
      <c r="E27" s="91">
        <v>15</v>
      </c>
      <c r="F27" s="20">
        <v>25</v>
      </c>
      <c r="G27" s="6">
        <v>600.4</v>
      </c>
      <c r="H27" s="6">
        <v>5298</v>
      </c>
      <c r="I27" s="20">
        <v>25</v>
      </c>
      <c r="J27" s="3">
        <v>5.14</v>
      </c>
      <c r="K27" s="3">
        <v>6.92</v>
      </c>
      <c r="L27" s="20">
        <v>25</v>
      </c>
      <c r="O27" s="20">
        <v>25</v>
      </c>
      <c r="P27" s="65"/>
      <c r="Q27" s="65"/>
      <c r="R27" s="65"/>
      <c r="S27" s="65"/>
      <c r="T27" s="65"/>
      <c r="U27" s="65"/>
      <c r="V27"/>
      <c r="W27" s="84">
        <v>7</v>
      </c>
      <c r="X27" s="84">
        <v>0</v>
      </c>
      <c r="Y27" s="85">
        <v>386157</v>
      </c>
      <c r="Z27" s="84">
        <v>3595</v>
      </c>
    </row>
    <row r="28" spans="1:26" ht="14" customHeight="1">
      <c r="B28" s="20">
        <v>26</v>
      </c>
      <c r="C28">
        <v>1541.51</v>
      </c>
      <c r="D28" s="80">
        <v>64.8</v>
      </c>
      <c r="E28" s="91">
        <v>7</v>
      </c>
      <c r="F28" s="20">
        <v>26</v>
      </c>
      <c r="G28" s="6">
        <v>546.29999999999995</v>
      </c>
      <c r="H28" s="6">
        <v>5624</v>
      </c>
      <c r="I28" s="20">
        <v>26</v>
      </c>
      <c r="J28" s="3">
        <v>4.9800000000000004</v>
      </c>
      <c r="K28" s="3">
        <v>7.04</v>
      </c>
      <c r="L28" s="20">
        <v>26</v>
      </c>
      <c r="O28" s="20">
        <v>26</v>
      </c>
      <c r="P28" s="65"/>
      <c r="Q28" s="65"/>
      <c r="R28" s="65"/>
      <c r="S28" s="65"/>
      <c r="T28" s="65"/>
      <c r="U28" s="65"/>
      <c r="V28"/>
      <c r="W28" s="84">
        <v>7</v>
      </c>
      <c r="X28" s="84">
        <v>0</v>
      </c>
      <c r="Y28" s="85">
        <v>387657</v>
      </c>
      <c r="Z28" s="84">
        <v>3610</v>
      </c>
    </row>
    <row r="29" spans="1:26" ht="14" customHeight="1">
      <c r="B29" s="20">
        <v>27</v>
      </c>
      <c r="C29">
        <v>1664.16</v>
      </c>
      <c r="D29" s="80">
        <v>63.5</v>
      </c>
      <c r="E29" s="91">
        <v>13</v>
      </c>
      <c r="F29" s="20">
        <v>27</v>
      </c>
      <c r="G29" s="6">
        <v>596.79999999999995</v>
      </c>
      <c r="H29" s="6">
        <v>6220</v>
      </c>
      <c r="I29" s="20">
        <v>27</v>
      </c>
      <c r="J29" s="3">
        <v>4.9800000000000004</v>
      </c>
      <c r="K29" s="3">
        <v>7</v>
      </c>
      <c r="L29" s="20">
        <v>27</v>
      </c>
      <c r="O29" s="20">
        <v>27</v>
      </c>
      <c r="P29" s="65"/>
      <c r="Q29" s="65"/>
      <c r="R29" s="65"/>
      <c r="S29" s="65"/>
      <c r="T29" s="65"/>
      <c r="U29" s="65"/>
      <c r="V29"/>
      <c r="W29" s="84">
        <v>7</v>
      </c>
      <c r="X29" s="84">
        <v>0</v>
      </c>
      <c r="Y29" s="85">
        <v>389457</v>
      </c>
      <c r="Z29" s="84">
        <v>3629</v>
      </c>
    </row>
    <row r="30" spans="1:26" ht="14" customHeight="1">
      <c r="B30" s="20">
        <v>28</v>
      </c>
      <c r="C30">
        <v>1510.09</v>
      </c>
      <c r="D30" s="80">
        <v>65.2</v>
      </c>
      <c r="E30" s="91">
        <v>60</v>
      </c>
      <c r="F30" s="20">
        <v>28</v>
      </c>
      <c r="G30" s="6">
        <v>513.29999999999995</v>
      </c>
      <c r="H30" s="6">
        <v>5546</v>
      </c>
      <c r="I30" s="20">
        <v>28</v>
      </c>
      <c r="J30" s="3">
        <v>4.97</v>
      </c>
      <c r="L30" s="20">
        <v>28</v>
      </c>
      <c r="O30" s="20">
        <v>28</v>
      </c>
      <c r="P30" s="65"/>
      <c r="Q30" s="65"/>
      <c r="R30" s="65"/>
      <c r="S30" s="65"/>
      <c r="T30" s="65"/>
      <c r="U30" s="65"/>
      <c r="V30"/>
      <c r="W30" s="84">
        <v>8</v>
      </c>
      <c r="X30" s="93">
        <v>5</v>
      </c>
      <c r="Y30" s="85">
        <v>390957</v>
      </c>
      <c r="Z30" s="84">
        <v>3644</v>
      </c>
    </row>
    <row r="31" spans="1:26">
      <c r="B31" s="20">
        <v>29</v>
      </c>
      <c r="C31">
        <v>1470.25</v>
      </c>
      <c r="D31" s="80">
        <v>63.4</v>
      </c>
      <c r="E31" s="91">
        <v>43</v>
      </c>
      <c r="F31" s="20">
        <v>29</v>
      </c>
      <c r="G31" s="6">
        <v>554.20000000000005</v>
      </c>
      <c r="H31" s="6">
        <v>5688</v>
      </c>
      <c r="I31" s="20">
        <v>29</v>
      </c>
      <c r="J31" s="3">
        <v>4.99</v>
      </c>
      <c r="K31" s="3">
        <v>6.98</v>
      </c>
      <c r="L31" s="20">
        <v>29</v>
      </c>
      <c r="O31" s="20">
        <v>29</v>
      </c>
      <c r="P31" s="65"/>
      <c r="Q31" s="65"/>
      <c r="R31" s="65"/>
      <c r="S31" s="65"/>
      <c r="T31" s="65"/>
      <c r="U31" s="65"/>
      <c r="V31"/>
      <c r="W31" s="84">
        <v>7</v>
      </c>
      <c r="X31" s="84">
        <v>0</v>
      </c>
      <c r="Y31" s="85">
        <v>392357</v>
      </c>
      <c r="Z31" s="84">
        <v>3659</v>
      </c>
    </row>
    <row r="32" spans="1:26">
      <c r="B32" s="20">
        <v>30</v>
      </c>
      <c r="C32">
        <v>1554.26</v>
      </c>
      <c r="D32" s="80">
        <v>64.400000000000006</v>
      </c>
      <c r="E32" s="91">
        <v>76</v>
      </c>
      <c r="F32" s="20">
        <v>30</v>
      </c>
      <c r="G32" s="6">
        <v>687.4</v>
      </c>
      <c r="H32" s="6">
        <v>6140</v>
      </c>
      <c r="I32" s="20">
        <v>30</v>
      </c>
      <c r="J32" s="3">
        <v>5.0199999999999996</v>
      </c>
      <c r="K32" s="3">
        <v>7.21</v>
      </c>
      <c r="L32" s="20">
        <v>30</v>
      </c>
      <c r="O32" s="20">
        <v>30</v>
      </c>
      <c r="P32" s="65"/>
      <c r="Q32" s="65"/>
      <c r="R32" s="65"/>
      <c r="S32" s="65"/>
      <c r="T32" s="65"/>
      <c r="U32" s="65"/>
      <c r="V32"/>
      <c r="W32" s="84">
        <v>7</v>
      </c>
      <c r="X32" s="84">
        <v>0</v>
      </c>
      <c r="Y32" s="85">
        <v>393957</v>
      </c>
      <c r="Z32" s="84">
        <v>3677</v>
      </c>
    </row>
    <row r="33" spans="1:26">
      <c r="C33" s="65"/>
      <c r="D33" s="73"/>
      <c r="F33" s="17"/>
      <c r="L33" s="20"/>
      <c r="O33" s="17"/>
    </row>
    <row r="34" spans="1:26" s="7" customFormat="1">
      <c r="A34"/>
      <c r="B34" s="7" t="s">
        <v>22</v>
      </c>
      <c r="C34" s="67">
        <f>AVERAGE(C3:C33)</f>
        <v>1152.26</v>
      </c>
      <c r="D34" s="13">
        <f>AVERAGE(D3:D33)</f>
        <v>64.004166666666677</v>
      </c>
      <c r="E34" s="75">
        <f>AVERAGE(E3:E32)</f>
        <v>99.958333333333329</v>
      </c>
      <c r="F34" s="18" t="s">
        <v>22</v>
      </c>
      <c r="G34" s="67">
        <f>AVERAGE(G3:G33)</f>
        <v>608.86428571428564</v>
      </c>
      <c r="H34" s="67">
        <f>AVERAGE(H3:H33)</f>
        <v>3735.6785714285716</v>
      </c>
      <c r="I34" s="8"/>
      <c r="J34" s="14">
        <f>AVERAGE(J3:J32)</f>
        <v>4.9525925925925938</v>
      </c>
      <c r="K34" s="14">
        <f>AVERAGE(K3:K32)</f>
        <v>7.1345833333333326</v>
      </c>
      <c r="L34" s="21"/>
      <c r="M34" s="76"/>
      <c r="N34" s="15">
        <f>AVERAGE(N3:N30)</f>
        <v>0.59083333333333332</v>
      </c>
      <c r="O34" s="18" t="s">
        <v>22</v>
      </c>
      <c r="P34" s="78">
        <f>AVERAGE(P3:P30)</f>
        <v>5170.833333333333</v>
      </c>
      <c r="Q34" s="78" t="s">
        <v>0</v>
      </c>
      <c r="R34" s="78">
        <f>AVERAGE(R3:R30)</f>
        <v>3780.2083333333335</v>
      </c>
      <c r="S34" s="78">
        <f>AVERAGE(S3:S30)</f>
        <v>6219.791666666667</v>
      </c>
      <c r="T34" s="78">
        <f>AVERAGE(T3:T30)</f>
        <v>3741.6666666666665</v>
      </c>
      <c r="U34" s="78">
        <f>AVERAGE(U3:U30)</f>
        <v>2201.0416666666665</v>
      </c>
      <c r="V34" s="16"/>
      <c r="W34"/>
      <c r="X34"/>
      <c r="Y34"/>
      <c r="Z34"/>
    </row>
    <row r="35" spans="1:26" s="7" customFormat="1">
      <c r="A35"/>
      <c r="B35" s="7" t="s">
        <v>23</v>
      </c>
      <c r="C35" s="67">
        <f>STDEV(C3:C33)</f>
        <v>698.43405115115013</v>
      </c>
      <c r="D35" s="13">
        <f>STDEV(D3:D33)</f>
        <v>1.5815455200164357</v>
      </c>
      <c r="E35" s="75">
        <f>STDEV(E3:E32)</f>
        <v>75.285242601875098</v>
      </c>
      <c r="F35" s="18" t="s">
        <v>23</v>
      </c>
      <c r="G35" s="67">
        <f>STDEV(G3:G33)</f>
        <v>48.800608787077834</v>
      </c>
      <c r="H35" s="67">
        <f>STDEV(H3:H33)</f>
        <v>2205.3846066451797</v>
      </c>
      <c r="I35" s="8"/>
      <c r="J35" s="14">
        <f>STDEV(J3:J32)</f>
        <v>0.1208811429142309</v>
      </c>
      <c r="K35" s="14">
        <f>STDEV(K3:K32)</f>
        <v>0.11739858404696321</v>
      </c>
      <c r="L35" s="21"/>
      <c r="M35" s="76"/>
      <c r="N35" s="15">
        <f>STDEV(N3:N30)</f>
        <v>6.112373606964084E-2</v>
      </c>
      <c r="O35" s="18" t="s">
        <v>23</v>
      </c>
      <c r="P35" s="78">
        <f>STDEV(P3:P30)</f>
        <v>269.64482812272405</v>
      </c>
      <c r="Q35" s="78" t="s">
        <v>0</v>
      </c>
      <c r="R35" s="78">
        <f>STDEV(R3:R30)</f>
        <v>385.46170907973027</v>
      </c>
      <c r="S35" s="78">
        <f>STDEV(S3:S30)</f>
        <v>481.5024590337577</v>
      </c>
      <c r="T35" s="78">
        <f>STDEV(T3:T30)</f>
        <v>340.18989794916996</v>
      </c>
      <c r="U35" s="78">
        <f>STDEV(U3:U30)</f>
        <v>228.53131623477756</v>
      </c>
      <c r="V35" s="16"/>
      <c r="W35"/>
      <c r="X35"/>
      <c r="Y35"/>
      <c r="Z35"/>
    </row>
    <row r="36" spans="1:26">
      <c r="A36" s="7"/>
      <c r="W36" s="7"/>
      <c r="X36" s="7"/>
      <c r="Y36" s="7"/>
      <c r="Z36" s="7"/>
    </row>
    <row r="37" spans="1:26">
      <c r="A37" s="7"/>
      <c r="W37" s="7"/>
      <c r="X37" s="7"/>
      <c r="Y37" s="7"/>
      <c r="Z37" s="7"/>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13</vt:i4>
      </vt:variant>
    </vt:vector>
  </HeadingPairs>
  <TitlesOfParts>
    <vt:vector size="13" baseType="lpstr">
      <vt:lpstr>Jan'15</vt:lpstr>
      <vt:lpstr>Feb'15</vt:lpstr>
      <vt:lpstr>Mar'15</vt:lpstr>
      <vt:lpstr>Apr'15</vt:lpstr>
      <vt:lpstr>May'15</vt:lpstr>
      <vt:lpstr>Jun'15</vt:lpstr>
      <vt:lpstr>Jul'15</vt:lpstr>
      <vt:lpstr>Aug'15</vt:lpstr>
      <vt:lpstr>Sep'15</vt:lpstr>
      <vt:lpstr>Oct'15</vt:lpstr>
      <vt:lpstr>Nov'15</vt:lpstr>
      <vt:lpstr>Dec'15</vt:lpstr>
      <vt:lpstr>Template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 Richmond-Hall</dc:creator>
  <cp:lastModifiedBy>Joan Richmond-Hall</cp:lastModifiedBy>
  <dcterms:created xsi:type="dcterms:W3CDTF">2015-06-30T15:01:40Z</dcterms:created>
  <dcterms:modified xsi:type="dcterms:W3CDTF">2016-03-09T21:46:10Z</dcterms:modified>
</cp:coreProperties>
</file>