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-20" yWindow="0" windowWidth="26700" windowHeight="16280" tabRatio="500" activeTab="1"/>
  </bookViews>
  <sheets>
    <sheet name="mg per L" sheetId="1" r:id="rId1"/>
    <sheet name="no conversio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5" i="1"/>
  <c r="H14" i="1"/>
  <c r="H13" i="1"/>
  <c r="H12" i="1"/>
  <c r="H11" i="1"/>
  <c r="F27" i="1"/>
  <c r="F26" i="1"/>
  <c r="F25" i="1"/>
  <c r="F24" i="1"/>
  <c r="F23" i="1"/>
  <c r="F22" i="1"/>
  <c r="F19" i="1"/>
  <c r="F18" i="1"/>
  <c r="F17" i="1"/>
  <c r="F15" i="1"/>
  <c r="F14" i="1"/>
  <c r="R27" i="1"/>
  <c r="R26" i="1"/>
  <c r="R25" i="1"/>
  <c r="R24" i="1"/>
  <c r="R23" i="1"/>
  <c r="R22" i="1"/>
  <c r="R19" i="1"/>
  <c r="R18" i="1"/>
  <c r="R17" i="1"/>
  <c r="R15" i="1"/>
  <c r="R14" i="1"/>
  <c r="S27" i="1"/>
  <c r="S26" i="1"/>
  <c r="S25" i="1"/>
  <c r="S24" i="1"/>
  <c r="S23" i="1"/>
  <c r="S22" i="1"/>
  <c r="S19" i="1"/>
  <c r="S18" i="1"/>
  <c r="S17" i="1"/>
  <c r="S15" i="1"/>
  <c r="S14" i="1"/>
  <c r="T27" i="1"/>
  <c r="T26" i="1"/>
  <c r="T25" i="1"/>
  <c r="T24" i="1"/>
  <c r="T23" i="1"/>
  <c r="T22" i="1"/>
  <c r="T19" i="1"/>
  <c r="T18" i="1"/>
  <c r="T17" i="1"/>
  <c r="T15" i="1"/>
  <c r="T14" i="1"/>
  <c r="U27" i="1"/>
  <c r="U26" i="1"/>
  <c r="U25" i="1"/>
  <c r="U24" i="1"/>
  <c r="U23" i="1"/>
  <c r="U22" i="1"/>
  <c r="U19" i="1"/>
  <c r="U18" i="1"/>
  <c r="U17" i="1"/>
  <c r="U15" i="1"/>
  <c r="U14" i="1"/>
  <c r="Q27" i="1"/>
  <c r="Q26" i="1"/>
  <c r="Q25" i="1"/>
  <c r="Q24" i="1"/>
  <c r="Q23" i="1"/>
  <c r="Q22" i="1"/>
  <c r="Q19" i="1"/>
  <c r="Q18" i="1"/>
  <c r="Q17" i="1"/>
  <c r="Q15" i="1"/>
  <c r="Q14" i="1"/>
  <c r="O27" i="1"/>
  <c r="O26" i="1"/>
  <c r="O25" i="1"/>
  <c r="O24" i="1"/>
  <c r="O23" i="1"/>
  <c r="O22" i="1"/>
  <c r="O19" i="1"/>
  <c r="O18" i="1"/>
  <c r="O17" i="1"/>
  <c r="O15" i="1"/>
  <c r="O14" i="1"/>
  <c r="G27" i="1"/>
  <c r="G26" i="1"/>
  <c r="G25" i="1"/>
  <c r="G24" i="1"/>
  <c r="G23" i="1"/>
  <c r="G22" i="1"/>
  <c r="G19" i="1"/>
  <c r="G18" i="1"/>
  <c r="G17" i="1"/>
  <c r="G15" i="1"/>
  <c r="G14" i="1"/>
  <c r="E27" i="1"/>
  <c r="E26" i="1"/>
  <c r="E25" i="1"/>
  <c r="E24" i="1"/>
  <c r="E22" i="1"/>
  <c r="E21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<sst xmlns="http://schemas.openxmlformats.org/spreadsheetml/2006/main" count="260" uniqueCount="183">
  <si>
    <t>Alchemist Sludge</t>
  </si>
  <si>
    <t>Endyne</t>
  </si>
  <si>
    <t>% TS</t>
  </si>
  <si>
    <t>% VS</t>
  </si>
  <si>
    <t>pH</t>
  </si>
  <si>
    <t>Long Trail Yeast Slurry</t>
  </si>
  <si>
    <t>BOD, 5-day (mg/L)</t>
  </si>
  <si>
    <t>110 mg/kg</t>
  </si>
  <si>
    <t>&lt;2.0 mg/kg</t>
  </si>
  <si>
    <t>300 mg/kg</t>
  </si>
  <si>
    <t>230 mg/kg</t>
  </si>
  <si>
    <t>NA</t>
  </si>
  <si>
    <t>* nitrate/nitrite</t>
  </si>
  <si>
    <t>1,900,000 mg/kg</t>
  </si>
  <si>
    <t>19,000 mg/kg</t>
  </si>
  <si>
    <t>3,200 mg/kg</t>
  </si>
  <si>
    <t>7,300 mg/kg</t>
  </si>
  <si>
    <t>2,700 mg/kg</t>
  </si>
  <si>
    <t>Long Trail Waste Sludge</t>
  </si>
  <si>
    <t>60 mg/L TP ~ 138 mg/L othrophophate</t>
  </si>
  <si>
    <t>120 mgL K ~ 144 mg/L K2O</t>
  </si>
  <si>
    <t>1000 mg/L TP ~ 2300 mg/L orthophosphate</t>
  </si>
  <si>
    <t>1400 mg/L K ~1680 mg/L K2O</t>
  </si>
  <si>
    <t>COD (mg/L)</t>
  </si>
  <si>
    <t>Nitrite N (mg/L)</t>
  </si>
  <si>
    <t>Nitrate N (mg/L)</t>
  </si>
  <si>
    <t>Ammonia N (mg/L)</t>
  </si>
  <si>
    <t>TKN (mg/L)</t>
  </si>
  <si>
    <t>P, total (mg/L)</t>
  </si>
  <si>
    <t>K, total (mg/L)</t>
  </si>
  <si>
    <t>Na, total (mg/L)</t>
  </si>
  <si>
    <t>Cl (mg/L)</t>
  </si>
  <si>
    <t>B, total (mg/L)</t>
  </si>
  <si>
    <t>Ca, total (mg/L)</t>
  </si>
  <si>
    <t>Cu, total (mg/L)</t>
  </si>
  <si>
    <t>Fe, total (mg/L)</t>
  </si>
  <si>
    <t>Mg, total (mg/L)</t>
  </si>
  <si>
    <t>Mn, total (mg/L)</t>
  </si>
  <si>
    <t>Zn, total (mg/L)</t>
  </si>
  <si>
    <t>&lt;2</t>
  </si>
  <si>
    <t>4.7*</t>
  </si>
  <si>
    <t>&lt;2.0*</t>
  </si>
  <si>
    <t>&lt;6,700</t>
  </si>
  <si>
    <t>0.7*</t>
  </si>
  <si>
    <t>&lt;0.2*</t>
  </si>
  <si>
    <t xml:space="preserve"> </t>
  </si>
  <si>
    <t>Vermont Tech manure</t>
  </si>
  <si>
    <t>Umaine</t>
  </si>
  <si>
    <t>15.8 lb/1000 gallons</t>
  </si>
  <si>
    <t>8.3 lb/1000 gallons</t>
  </si>
  <si>
    <t>organic N</t>
  </si>
  <si>
    <t>7.5 lb/1000 gallons</t>
  </si>
  <si>
    <t>5.8 lb ortho/1000 gallons</t>
  </si>
  <si>
    <t>24.2 lb K2O /1000 gallons</t>
  </si>
  <si>
    <t>11 lb /1000 gallons</t>
  </si>
  <si>
    <t>5.8 lb/1000 gallons</t>
  </si>
  <si>
    <t>0.02 lb / 1000 gallons</t>
  </si>
  <si>
    <t>0.32 lb/1000 gallons</t>
  </si>
  <si>
    <t>6.4 lb/1000 gallons</t>
  </si>
  <si>
    <t>0.08 lb/1000 gallons</t>
  </si>
  <si>
    <t>7.12 lb/1000 gallons</t>
  </si>
  <si>
    <t>"Bad" silage</t>
  </si>
  <si>
    <t>CVAS</t>
  </si>
  <si>
    <t>79.23 lb/1000 gallons</t>
  </si>
  <si>
    <t>11.61 lb/1000 gallons</t>
  </si>
  <si>
    <t>36.95 lb/1000 gallons</t>
  </si>
  <si>
    <t>152.95 lb/1000 gallons</t>
  </si>
  <si>
    <t>77.97 lb/1000 gallons</t>
  </si>
  <si>
    <t>14.06 lb/1000 gallons</t>
  </si>
  <si>
    <t>3.09 lb/1000 gallons</t>
  </si>
  <si>
    <t>0.05 lb/1000 gallons</t>
  </si>
  <si>
    <t>0.61 lb/1000 gallons</t>
  </si>
  <si>
    <t>4.29 lb/1000 gallons</t>
  </si>
  <si>
    <t>0.17 lb /1000 gallons</t>
  </si>
  <si>
    <t>Wind River GTW</t>
  </si>
  <si>
    <t>25.05 lb/1000 gallons</t>
  </si>
  <si>
    <t>0.68 lb/1000 gallons</t>
  </si>
  <si>
    <t>3.05 lb/1000 gallons</t>
  </si>
  <si>
    <t>1.95 lb/1000 gallons</t>
  </si>
  <si>
    <t>3.29 lb/1000 gallons</t>
  </si>
  <si>
    <t>0.56 lb/1000 gallons</t>
  </si>
  <si>
    <t>9.33 lb/1000 gallons</t>
  </si>
  <si>
    <t>0.12 lb/1000 gallons</t>
  </si>
  <si>
    <t>0.02 lb/1000 gallons</t>
  </si>
  <si>
    <t>1.41 lb/1000 gallons</t>
  </si>
  <si>
    <t>0.10 lb/1000 gallons</t>
  </si>
  <si>
    <t>Grass</t>
  </si>
  <si>
    <t>85.90 lb/1000 gallons</t>
  </si>
  <si>
    <t>2.27 lb/1000 gallons</t>
  </si>
  <si>
    <t>33.98 lb/1000 gallons</t>
  </si>
  <si>
    <t>117.73 lb/1000 gallons</t>
  </si>
  <si>
    <t>47.55 lb/1000 gallons</t>
  </si>
  <si>
    <t>10.16 lb /1000 gallons</t>
  </si>
  <si>
    <t>2.22 lb/1000 gallons</t>
  </si>
  <si>
    <t>0.07 lb/1000 gallons</t>
  </si>
  <si>
    <t>0.70 lb/1000 gallons</t>
  </si>
  <si>
    <t>7.83 lb/1000 gallons</t>
  </si>
  <si>
    <t>0.15 lb/1000 gallons</t>
  </si>
  <si>
    <t>Rees glycerol (hi S?)</t>
  </si>
  <si>
    <t>17.66 lb/1000 gallons</t>
  </si>
  <si>
    <t>0.46 lb /1000 gallons</t>
  </si>
  <si>
    <t>149.75 lb/1000 gallons</t>
  </si>
  <si>
    <t>6.46 lb/1000 gallons</t>
  </si>
  <si>
    <t>9.73 lb/1000 gallons</t>
  </si>
  <si>
    <t>0.33 lb/1000 gallons</t>
  </si>
  <si>
    <t>122.12 lb/1000 gallons</t>
  </si>
  <si>
    <t>0.01 lb/1000 gallons</t>
  </si>
  <si>
    <t>0.84 lb/1000 gallons</t>
  </si>
  <si>
    <t>Vermont Tech heifer manure</t>
  </si>
  <si>
    <t>59.11 lb/1000 gallons</t>
  </si>
  <si>
    <t>8.47 lb/1000 gallons</t>
  </si>
  <si>
    <t>24.35 lb/1000 gallons</t>
  </si>
  <si>
    <t>49.78 lb/1000 gallons</t>
  </si>
  <si>
    <t>23.87 lb/1000 gallons</t>
  </si>
  <si>
    <t>10.53 lb/1000 gallons</t>
  </si>
  <si>
    <t>5.16 lb/1000 gallons</t>
  </si>
  <si>
    <t>0.59 lb/1000 gallons</t>
  </si>
  <si>
    <t>5.65 lb/1000 gallons</t>
  </si>
  <si>
    <t>0.29 lb/1000 gallons</t>
  </si>
  <si>
    <t>Prep pit</t>
  </si>
  <si>
    <t>9.75 lb/1000 gallons</t>
  </si>
  <si>
    <t>33.47 lb/1000 gallons</t>
  </si>
  <si>
    <t>11.39 lb/1000 gallons</t>
  </si>
  <si>
    <t>21.33 lb/1000 gallons</t>
  </si>
  <si>
    <t>14.25 lb/1000 gallons</t>
  </si>
  <si>
    <t>6.05 lb/1000 gallons</t>
  </si>
  <si>
    <t>7.63 lb/1000 gallons</t>
  </si>
  <si>
    <t>0.16 lb/1000 gallons</t>
  </si>
  <si>
    <t>0.13 lb/1000 gallons</t>
  </si>
  <si>
    <t>Ayers Brook Bedding</t>
  </si>
  <si>
    <t>18.95 lb/1000 gallons</t>
  </si>
  <si>
    <t>88.68 lb/1000 gallons</t>
  </si>
  <si>
    <t>77.37 lb/1000 gallons</t>
  </si>
  <si>
    <t>78.45 lb/1000 gallons</t>
  </si>
  <si>
    <t>10.04 lb/1000 gallons</t>
  </si>
  <si>
    <t>69.72 lb/1000 gallons</t>
  </si>
  <si>
    <t>0.81 lb/1000 gallons</t>
  </si>
  <si>
    <t>3.45 lb/1000 gallons</t>
  </si>
  <si>
    <t>30.92 lb/1000 gallons</t>
  </si>
  <si>
    <t>0.73 lb/1000 gallons</t>
  </si>
  <si>
    <t>Effluent</t>
  </si>
  <si>
    <t>35.22 lb/1000 gallons</t>
  </si>
  <si>
    <t>9.60 lb/1000 gallons</t>
  </si>
  <si>
    <t>7.28 lb/1000 gallons</t>
  </si>
  <si>
    <t>17.63 lb/1000 gallons</t>
  </si>
  <si>
    <t>4.88 lb/1000 gallons</t>
  </si>
  <si>
    <t>9.86 lb/1000 gallons</t>
  </si>
  <si>
    <t>2.50 lb/1000 gallons</t>
  </si>
  <si>
    <t>3.82 lb/1000 gallons</t>
  </si>
  <si>
    <t>0.11 lb/1000 gallons</t>
  </si>
  <si>
    <t>WMBD glycerol:crumb (50:50)</t>
  </si>
  <si>
    <t>(June 2015)</t>
  </si>
  <si>
    <t>EIANH</t>
  </si>
  <si>
    <t>1000000 mg/L</t>
  </si>
  <si>
    <t>parameter</t>
  </si>
  <si>
    <t>problematic or</t>
  </si>
  <si>
    <t>inhibitory</t>
  </si>
  <si>
    <t xml:space="preserve">optimal or </t>
  </si>
  <si>
    <t>stimulatory</t>
  </si>
  <si>
    <t>&gt; 5</t>
  </si>
  <si>
    <t>&lt; 5</t>
  </si>
  <si>
    <t>~ 8</t>
  </si>
  <si>
    <t>&gt; 80</t>
  </si>
  <si>
    <t>1 - 10</t>
  </si>
  <si>
    <t>5</t>
  </si>
  <si>
    <t>Sulfide (mg/L)</t>
  </si>
  <si>
    <t>50</t>
  </si>
  <si>
    <t>100 - 200</t>
  </si>
  <si>
    <t xml:space="preserve">moderate </t>
  </si>
  <si>
    <t>inhibition</t>
  </si>
  <si>
    <t>2,500 - 4,500</t>
  </si>
  <si>
    <t>8,000</t>
  </si>
  <si>
    <t>75 - 100</t>
  </si>
  <si>
    <t>1,000 - 1,500</t>
  </si>
  <si>
    <t>3,000</t>
  </si>
  <si>
    <t>200 - 400</t>
  </si>
  <si>
    <t>12,000</t>
  </si>
  <si>
    <t>3,500 - 5,500</t>
  </si>
  <si>
    <t>50 - 200</t>
  </si>
  <si>
    <t>&gt; 3000</t>
  </si>
  <si>
    <t>1,500 - 3,000 pH &gt; 7.4</t>
  </si>
  <si>
    <t>VTCAD compiled feedstock test results in units reported</t>
  </si>
  <si>
    <t>VTCAD compiled feedstock test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</si>
</sst>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4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993"/>
        <bgColor indexed="64"/>
      </patternFill>
    </fill>
    <fill>
      <patternFill patternType="solid">
        <fgColor rgb="FFFFFA9C"/>
        <bgColor indexed="64"/>
      </patternFill>
    </fill>
    <fill>
      <patternFill patternType="solid">
        <fgColor rgb="FFFFFBA1"/>
        <bgColor indexed="64"/>
      </patternFill>
    </fill>
    <fill>
      <patternFill patternType="solid">
        <fgColor rgb="FFFFFD9B"/>
        <bgColor indexed="64"/>
      </patternFill>
    </fill>
    <fill>
      <patternFill patternType="solid">
        <fgColor rgb="FFFFF89E"/>
        <bgColor indexed="64"/>
      </patternFill>
    </fill>
    <fill>
      <patternFill patternType="solid">
        <fgColor rgb="FFFFF387"/>
        <bgColor indexed="64"/>
      </patternFill>
    </fill>
    <fill>
      <patternFill patternType="solid">
        <fgColor rgb="FFFFF090"/>
        <bgColor indexed="64"/>
      </patternFill>
    </fill>
    <fill>
      <patternFill patternType="solid">
        <fgColor rgb="FFFFFBAC"/>
        <bgColor indexed="64"/>
      </patternFill>
    </fill>
  </fills>
  <borders count="1">
    <border>
      <left/>
      <right/>
      <top/>
      <bottom/>
      <diagonal/>
    </border>
  </borders>
  <cellStyleXfs count="76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 horizontal="right"/>
    </xf>
    <xf numFmtId="49" fontId="3" fillId="5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horizontal="right"/>
    </xf>
    <xf numFmtId="164" fontId="0" fillId="5" borderId="0" xfId="1" applyNumberFormat="1" applyFont="1" applyFill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0" fillId="6" borderId="0" xfId="1" applyNumberFormat="1" applyFont="1" applyFill="1" applyAlignment="1">
      <alignment horizontal="right"/>
    </xf>
    <xf numFmtId="164" fontId="0" fillId="7" borderId="0" xfId="1" applyNumberFormat="1" applyFont="1" applyFill="1" applyAlignment="1">
      <alignment horizontal="right"/>
    </xf>
    <xf numFmtId="164" fontId="0" fillId="8" borderId="0" xfId="1" applyNumberFormat="1" applyFont="1" applyFill="1" applyAlignment="1">
      <alignment horizontal="right"/>
    </xf>
    <xf numFmtId="164" fontId="1" fillId="0" borderId="0" xfId="1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8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ont="1" applyAlignment="1">
      <alignment horizontal="right"/>
    </xf>
    <xf numFmtId="164" fontId="7" fillId="9" borderId="0" xfId="1" applyNumberFormat="1" applyFont="1" applyFill="1" applyAlignment="1">
      <alignment horizontal="right"/>
    </xf>
    <xf numFmtId="164" fontId="0" fillId="9" borderId="0" xfId="1" applyNumberFormat="1" applyFont="1" applyFill="1" applyAlignment="1">
      <alignment horizontal="right"/>
    </xf>
    <xf numFmtId="164" fontId="0" fillId="10" borderId="0" xfId="1" applyNumberFormat="1" applyFont="1" applyFill="1" applyAlignment="1">
      <alignment horizontal="right"/>
    </xf>
    <xf numFmtId="164" fontId="0" fillId="11" borderId="0" xfId="1" applyNumberFormat="1" applyFont="1" applyFill="1" applyAlignment="1">
      <alignment horizontal="right"/>
    </xf>
    <xf numFmtId="164" fontId="0" fillId="12" borderId="0" xfId="1" applyNumberFormat="1" applyFont="1" applyFill="1" applyAlignment="1">
      <alignment horizontal="right"/>
    </xf>
    <xf numFmtId="164" fontId="0" fillId="12" borderId="0" xfId="1" applyNumberFormat="1" applyFont="1" applyFill="1"/>
    <xf numFmtId="164" fontId="0" fillId="4" borderId="0" xfId="1" applyNumberFormat="1" applyFont="1" applyFill="1"/>
    <xf numFmtId="0" fontId="8" fillId="0" borderId="0" xfId="0" applyFont="1"/>
    <xf numFmtId="0" fontId="8" fillId="0" borderId="0" xfId="0" applyFont="1" applyAlignment="1">
      <alignment horizontal="right"/>
    </xf>
  </cellXfs>
  <cellStyles count="7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</cellStyles>
  <dxfs count="0"/>
  <tableStyles count="0" defaultTableStyle="TableStyleMedium9" defaultPivotStyle="PivotStyleMedium4"/>
  <colors>
    <mruColors>
      <color rgb="FFFFFC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1005840</xdr:colOff>
      <xdr:row>29</xdr:row>
      <xdr:rowOff>91440</xdr:rowOff>
    </xdr:from>
    <xdr:to>
      <xdr:col>7</xdr:col>
      <xdr:colOff>0</xdr:colOff>
      <xdr:row>37</xdr:row>
      <xdr:rowOff>71120</xdr:rowOff>
    </xdr:to>
    <xdr:sp macro="" textlink="">
      <xdr:nvSpPr>
        <xdr:cNvPr id="2" name="Rounded Rectangular Callout 1"/>
        <xdr:cNvSpPr/>
      </xdr:nvSpPr>
      <xdr:spPr>
        <a:xfrm rot="10800000" flipV="1">
          <a:off x="11348720" y="5689600"/>
          <a:ext cx="1158240" cy="1524000"/>
        </a:xfrm>
        <a:prstGeom prst="wedgeRoundRectCallout">
          <a:avLst>
            <a:gd name="adj1" fmla="val -23956"/>
            <a:gd name="adj2" fmla="val -157890"/>
            <a:gd name="adj3" fmla="val 16667"/>
          </a:avLst>
        </a:prstGeom>
        <a:solidFill>
          <a:srgbClr val="FFFC9F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Conversion</a:t>
          </a:r>
          <a:r>
            <a:rPr lang="en-US" sz="1200" b="1" baseline="0">
              <a:solidFill>
                <a:schemeClr val="tx1"/>
              </a:solidFill>
            </a:rPr>
            <a:t> from mg/kg to mg/L: multiply the mg/kg values by (%TS/100).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30</xdr:row>
      <xdr:rowOff>114300</xdr:rowOff>
    </xdr:from>
    <xdr:to>
      <xdr:col>2</xdr:col>
      <xdr:colOff>101600</xdr:colOff>
      <xdr:row>40</xdr:row>
      <xdr:rowOff>139700</xdr:rowOff>
    </xdr:to>
    <xdr:sp macro="" textlink="">
      <xdr:nvSpPr>
        <xdr:cNvPr id="2" name="Rounded Rectangular Callout 1"/>
        <xdr:cNvSpPr/>
      </xdr:nvSpPr>
      <xdr:spPr>
        <a:xfrm rot="10800000" flipV="1">
          <a:off x="1574800" y="5829300"/>
          <a:ext cx="1651000" cy="1930400"/>
        </a:xfrm>
        <a:prstGeom prst="wedgeRoundRectCallout">
          <a:avLst>
            <a:gd name="adj1" fmla="val -24697"/>
            <a:gd name="adj2" fmla="val -86000"/>
            <a:gd name="adj3" fmla="val 16667"/>
          </a:avLst>
        </a:prstGeom>
        <a:solidFill>
          <a:srgbClr val="FFFC9F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Conversion from lb/1000 gallons</a:t>
          </a:r>
          <a:r>
            <a:rPr lang="en-US" sz="1200" b="1" baseline="0">
              <a:solidFill>
                <a:schemeClr val="tx1"/>
              </a:solidFill>
            </a:rPr>
            <a:t> to mg/L: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multiply the lb/1000 gallons value by 119.83 =(453.59 g/lb)(1000 mg/g)(1 gallon/3.7854 L)/1000 gallons 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1422400</xdr:colOff>
      <xdr:row>30</xdr:row>
      <xdr:rowOff>12700</xdr:rowOff>
    </xdr:from>
    <xdr:to>
      <xdr:col>5</xdr:col>
      <xdr:colOff>165100</xdr:colOff>
      <xdr:row>34</xdr:row>
      <xdr:rowOff>139700</xdr:rowOff>
    </xdr:to>
    <xdr:sp macro="" textlink="">
      <xdr:nvSpPr>
        <xdr:cNvPr id="3" name="Rounded Rectangular Callout 2"/>
        <xdr:cNvSpPr/>
      </xdr:nvSpPr>
      <xdr:spPr>
        <a:xfrm rot="10800000" flipV="1">
          <a:off x="6489700" y="5727700"/>
          <a:ext cx="1600200" cy="889000"/>
        </a:xfrm>
        <a:prstGeom prst="wedgeRoundRectCallout">
          <a:avLst>
            <a:gd name="adj1" fmla="val -23903"/>
            <a:gd name="adj2" fmla="val -251939"/>
            <a:gd name="adj3" fmla="val 16667"/>
          </a:avLst>
        </a:prstGeom>
        <a:solidFill>
          <a:srgbClr val="FFFC9F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Conversion from mg/kg</a:t>
          </a:r>
          <a:r>
            <a:rPr lang="en-US" sz="1200" b="1" baseline="0">
              <a:solidFill>
                <a:schemeClr val="tx1"/>
              </a:solidFill>
            </a:rPr>
            <a:t> </a:t>
          </a:r>
          <a:r>
            <a:rPr lang="en-US" sz="1200" b="1">
              <a:solidFill>
                <a:schemeClr val="tx1"/>
              </a:solidFill>
            </a:rPr>
            <a:t>dry</a:t>
          </a:r>
          <a:r>
            <a:rPr lang="en-US" sz="1200" b="1" baseline="0">
              <a:solidFill>
                <a:schemeClr val="tx1"/>
              </a:solidFill>
            </a:rPr>
            <a:t> to mg/L: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multiply the mg/kg value by (%TS)/100.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="125" zoomScaleNormal="125" zoomScalePageLayoutView="12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2" sqref="E12"/>
    </sheetView>
  </sheetViews>
  <sheetFormatPr baseColWidth="10" defaultRowHeight="15" x14ac:dyDescent="0"/>
  <cols>
    <col min="1" max="1" width="17.6640625" customWidth="1"/>
    <col min="2" max="2" width="10.33203125" style="14" customWidth="1"/>
    <col min="3" max="3" width="19.1640625" style="14" customWidth="1"/>
    <col min="4" max="4" width="15" style="14" customWidth="1"/>
    <col min="5" max="5" width="21.33203125" style="3" customWidth="1"/>
    <col min="6" max="6" width="26.33203125" style="3" customWidth="1"/>
    <col min="7" max="7" width="13.5" style="3" customWidth="1"/>
    <col min="8" max="8" width="16" style="3" customWidth="1"/>
    <col min="9" max="9" width="20.1640625" style="3" customWidth="1"/>
    <col min="10" max="11" width="20.33203125" style="3" customWidth="1"/>
    <col min="12" max="13" width="22" style="3" customWidth="1"/>
    <col min="14" max="14" width="21.33203125" style="3" customWidth="1"/>
    <col min="15" max="15" width="18.1640625" style="3" customWidth="1"/>
    <col min="16" max="16" width="26.33203125" style="3" customWidth="1"/>
    <col min="17" max="17" width="16" style="3" customWidth="1"/>
    <col min="18" max="18" width="9.6640625" style="3" customWidth="1"/>
    <col min="19" max="19" width="18.1640625" style="3" customWidth="1"/>
    <col min="20" max="20" width="12.33203125" style="3" customWidth="1"/>
  </cols>
  <sheetData>
    <row r="1" spans="1:21" s="39" customFormat="1" ht="18">
      <c r="A1" s="39" t="s">
        <v>182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4" spans="1:21" s="1" customFormat="1">
      <c r="B4" s="13"/>
      <c r="C4" s="13"/>
      <c r="D4" s="13"/>
      <c r="E4" s="2" t="s">
        <v>46</v>
      </c>
      <c r="F4" s="2" t="s">
        <v>108</v>
      </c>
      <c r="G4" s="2" t="s">
        <v>61</v>
      </c>
      <c r="H4" s="2" t="s">
        <v>0</v>
      </c>
      <c r="I4" s="7" t="s">
        <v>5</v>
      </c>
      <c r="J4" s="2" t="s">
        <v>5</v>
      </c>
      <c r="K4" s="7" t="s">
        <v>5</v>
      </c>
      <c r="L4" s="2" t="s">
        <v>18</v>
      </c>
      <c r="M4" s="2" t="s">
        <v>18</v>
      </c>
      <c r="N4" s="2" t="s">
        <v>18</v>
      </c>
      <c r="O4" s="2" t="s">
        <v>98</v>
      </c>
      <c r="P4" s="2" t="s">
        <v>150</v>
      </c>
      <c r="Q4" s="2" t="s">
        <v>74</v>
      </c>
      <c r="R4" s="2" t="s">
        <v>86</v>
      </c>
      <c r="S4" s="2" t="s">
        <v>129</v>
      </c>
      <c r="T4" s="2" t="s">
        <v>119</v>
      </c>
      <c r="U4" s="2" t="s">
        <v>140</v>
      </c>
    </row>
    <row r="5" spans="1:21" s="5" customFormat="1">
      <c r="B5" s="15" t="s">
        <v>157</v>
      </c>
      <c r="C5" s="19" t="s">
        <v>168</v>
      </c>
      <c r="D5" s="17" t="s">
        <v>155</v>
      </c>
      <c r="E5" s="6">
        <v>41465</v>
      </c>
      <c r="F5" s="6">
        <v>42045</v>
      </c>
      <c r="G5" s="6">
        <v>42045</v>
      </c>
      <c r="H5" s="6">
        <v>42005</v>
      </c>
      <c r="I5" s="8">
        <v>40898</v>
      </c>
      <c r="J5" s="6">
        <v>41305</v>
      </c>
      <c r="K5" s="8">
        <v>41450</v>
      </c>
      <c r="L5" s="6">
        <v>40898</v>
      </c>
      <c r="M5" s="6">
        <v>41305</v>
      </c>
      <c r="N5" s="6">
        <v>41450</v>
      </c>
      <c r="O5" s="6">
        <v>42045</v>
      </c>
      <c r="P5" s="6" t="s">
        <v>151</v>
      </c>
      <c r="Q5" s="6">
        <v>42045</v>
      </c>
      <c r="R5" s="6">
        <v>42045</v>
      </c>
      <c r="S5" s="6">
        <v>42045</v>
      </c>
      <c r="T5" s="6">
        <v>42045</v>
      </c>
      <c r="U5" s="6">
        <v>42045</v>
      </c>
    </row>
    <row r="6" spans="1:21" s="1" customFormat="1">
      <c r="A6" s="1" t="s">
        <v>154</v>
      </c>
      <c r="B6" s="15" t="s">
        <v>158</v>
      </c>
      <c r="C6" s="19" t="s">
        <v>169</v>
      </c>
      <c r="D6" s="17" t="s">
        <v>156</v>
      </c>
      <c r="E6" s="2" t="s">
        <v>47</v>
      </c>
      <c r="F6" s="2" t="s">
        <v>62</v>
      </c>
      <c r="G6" s="2" t="s">
        <v>62</v>
      </c>
      <c r="H6" s="2" t="s">
        <v>1</v>
      </c>
      <c r="I6" s="7" t="s">
        <v>1</v>
      </c>
      <c r="J6" s="2" t="s">
        <v>1</v>
      </c>
      <c r="K6" s="7" t="s">
        <v>1</v>
      </c>
      <c r="L6" s="2" t="s">
        <v>1</v>
      </c>
      <c r="M6" s="2" t="s">
        <v>1</v>
      </c>
      <c r="N6" s="2" t="s">
        <v>1</v>
      </c>
      <c r="O6" s="2" t="s">
        <v>62</v>
      </c>
      <c r="P6" s="2" t="s">
        <v>152</v>
      </c>
      <c r="Q6" s="2" t="s">
        <v>62</v>
      </c>
      <c r="R6" s="2" t="s">
        <v>62</v>
      </c>
      <c r="S6" s="2" t="s">
        <v>62</v>
      </c>
      <c r="T6" s="2" t="s">
        <v>62</v>
      </c>
      <c r="U6" s="2" t="s">
        <v>62</v>
      </c>
    </row>
    <row r="7" spans="1:21">
      <c r="A7" t="s">
        <v>4</v>
      </c>
      <c r="B7" s="16" t="s">
        <v>159</v>
      </c>
      <c r="C7" s="20"/>
      <c r="D7" s="18" t="s">
        <v>160</v>
      </c>
      <c r="E7">
        <v>4.7</v>
      </c>
      <c r="F7" s="3">
        <v>7.86</v>
      </c>
      <c r="G7" s="3">
        <v>8.44</v>
      </c>
      <c r="H7" s="3">
        <v>4.3</v>
      </c>
      <c r="I7" s="3">
        <v>4.3</v>
      </c>
      <c r="J7" s="3">
        <v>4.5999999999999996</v>
      </c>
      <c r="K7" s="29">
        <v>3.6</v>
      </c>
      <c r="L7" s="3">
        <v>7.6</v>
      </c>
      <c r="M7" s="3">
        <v>7.4</v>
      </c>
      <c r="N7" s="3">
        <v>7.4</v>
      </c>
      <c r="O7" s="3">
        <v>5.1100000000000003</v>
      </c>
      <c r="P7" s="3">
        <v>4.5</v>
      </c>
      <c r="Q7" s="3">
        <v>4.4000000000000004</v>
      </c>
      <c r="R7" s="3">
        <v>5.38</v>
      </c>
      <c r="S7" s="3">
        <v>7.97</v>
      </c>
      <c r="T7" s="3">
        <v>6.97</v>
      </c>
      <c r="U7" s="3">
        <v>7.88</v>
      </c>
    </row>
    <row r="8" spans="1:21">
      <c r="A8" t="s">
        <v>2</v>
      </c>
      <c r="B8" s="16" t="s">
        <v>161</v>
      </c>
      <c r="C8" s="20"/>
      <c r="D8" s="18"/>
      <c r="E8" s="3">
        <v>62.4</v>
      </c>
      <c r="F8" s="3">
        <v>21.8</v>
      </c>
      <c r="G8" s="3">
        <v>48.97</v>
      </c>
      <c r="H8" s="3">
        <v>8.1</v>
      </c>
      <c r="O8" s="3">
        <v>70.63</v>
      </c>
      <c r="Q8" s="3">
        <v>5.03</v>
      </c>
      <c r="R8" s="3">
        <v>59.48</v>
      </c>
      <c r="S8" s="3">
        <v>27.29</v>
      </c>
      <c r="T8" s="3">
        <v>7.95</v>
      </c>
      <c r="U8" s="3">
        <v>4.6500000000000004</v>
      </c>
    </row>
    <row r="9" spans="1:21">
      <c r="A9" t="s">
        <v>3</v>
      </c>
      <c r="B9" s="16" t="s">
        <v>162</v>
      </c>
      <c r="C9" s="20"/>
      <c r="D9" s="18"/>
      <c r="H9" s="3">
        <v>96.6</v>
      </c>
      <c r="P9" s="11" t="s">
        <v>153</v>
      </c>
    </row>
    <row r="10" spans="1:21">
      <c r="A10" t="s">
        <v>6</v>
      </c>
      <c r="B10" s="16"/>
      <c r="C10" s="20"/>
      <c r="D10" s="18"/>
      <c r="I10" s="4">
        <v>103000</v>
      </c>
      <c r="J10" s="4">
        <v>119000</v>
      </c>
      <c r="K10" s="4">
        <v>110000</v>
      </c>
      <c r="L10" s="4" t="s">
        <v>42</v>
      </c>
      <c r="M10" s="4">
        <v>2700</v>
      </c>
      <c r="N10" s="3">
        <v>690</v>
      </c>
    </row>
    <row r="11" spans="1:21">
      <c r="A11" t="s">
        <v>23</v>
      </c>
      <c r="B11" s="16"/>
      <c r="C11" s="20"/>
      <c r="D11" s="18"/>
      <c r="H11" s="11">
        <f>1900000*0.081</f>
        <v>153900</v>
      </c>
      <c r="I11" s="4">
        <v>190000</v>
      </c>
      <c r="J11" s="3" t="s">
        <v>11</v>
      </c>
      <c r="K11" s="4">
        <v>203000</v>
      </c>
      <c r="L11" s="4">
        <v>18000</v>
      </c>
      <c r="M11" s="4">
        <v>15000</v>
      </c>
      <c r="N11" s="4">
        <v>6800</v>
      </c>
      <c r="O11" s="4"/>
      <c r="P11" s="4">
        <v>420000</v>
      </c>
    </row>
    <row r="12" spans="1:21">
      <c r="A12" t="s">
        <v>24</v>
      </c>
      <c r="B12" s="16"/>
      <c r="C12" s="20"/>
      <c r="D12" s="18"/>
      <c r="H12" s="11">
        <f>110*0.081</f>
        <v>8.91</v>
      </c>
      <c r="I12" s="3" t="s">
        <v>39</v>
      </c>
      <c r="J12" s="3" t="s">
        <v>40</v>
      </c>
      <c r="K12" s="3" t="s">
        <v>41</v>
      </c>
      <c r="L12" s="3">
        <v>2.8</v>
      </c>
      <c r="M12" s="3" t="s">
        <v>43</v>
      </c>
      <c r="N12" s="3" t="s">
        <v>44</v>
      </c>
    </row>
    <row r="13" spans="1:21">
      <c r="A13" t="s">
        <v>25</v>
      </c>
      <c r="B13" s="16"/>
      <c r="C13" s="20"/>
      <c r="D13" s="18"/>
      <c r="H13" s="11">
        <f>2*0.081</f>
        <v>0.16200000000000001</v>
      </c>
      <c r="I13" s="3">
        <v>2.6</v>
      </c>
      <c r="L13" s="3">
        <v>1.3</v>
      </c>
    </row>
    <row r="14" spans="1:21">
      <c r="A14" t="s">
        <v>26</v>
      </c>
      <c r="B14" s="16" t="s">
        <v>178</v>
      </c>
      <c r="C14" s="20" t="s">
        <v>180</v>
      </c>
      <c r="D14" s="18" t="s">
        <v>179</v>
      </c>
      <c r="E14" s="11">
        <f>8.3*119.83</f>
        <v>994.58900000000006</v>
      </c>
      <c r="F14" s="11">
        <f>119.83*8.47</f>
        <v>1014.9601</v>
      </c>
      <c r="G14" s="11">
        <f>119.83*11.61</f>
        <v>1391.2262999999998</v>
      </c>
      <c r="H14" s="11">
        <f>300*0.081</f>
        <v>24.3</v>
      </c>
      <c r="I14" s="3">
        <v>66</v>
      </c>
      <c r="L14" s="3">
        <v>38</v>
      </c>
      <c r="O14" s="11">
        <f>119.83*0.46</f>
        <v>55.1218</v>
      </c>
      <c r="P14" s="11"/>
      <c r="Q14" s="11">
        <f>119.83*0.68</f>
        <v>81.484400000000008</v>
      </c>
      <c r="R14" s="11">
        <f>119.83*2.27</f>
        <v>272.01409999999998</v>
      </c>
      <c r="S14" s="35">
        <f>119.83*18.95</f>
        <v>2270.7784999999999</v>
      </c>
      <c r="T14" s="36">
        <f>119.83*9.75</f>
        <v>1168.3425</v>
      </c>
      <c r="U14" s="37">
        <f>119.83*9.6</f>
        <v>1150.3679999999999</v>
      </c>
    </row>
    <row r="15" spans="1:21">
      <c r="A15" t="s">
        <v>27</v>
      </c>
      <c r="B15" s="16"/>
      <c r="C15" s="20"/>
      <c r="D15" s="18"/>
      <c r="E15" s="11">
        <f>15.8*119.83</f>
        <v>1893.3140000000001</v>
      </c>
      <c r="F15" s="11">
        <f>119.83*59.11</f>
        <v>7083.1512999999995</v>
      </c>
      <c r="G15" s="11">
        <f>119.83*79.23</f>
        <v>9494.1309000000001</v>
      </c>
      <c r="H15" s="11">
        <f>19000*0.081</f>
        <v>1539</v>
      </c>
      <c r="I15" s="4">
        <v>2600</v>
      </c>
      <c r="J15" s="4">
        <v>5200</v>
      </c>
      <c r="K15" s="4">
        <v>1500</v>
      </c>
      <c r="L15" s="4">
        <v>1600</v>
      </c>
      <c r="M15" s="4">
        <v>1500</v>
      </c>
      <c r="N15" s="3">
        <v>480</v>
      </c>
      <c r="O15" s="11">
        <f>119.83*17.66</f>
        <v>2116.1977999999999</v>
      </c>
      <c r="P15" s="11"/>
      <c r="Q15" s="11">
        <f>119.83*25.05</f>
        <v>3001.7415000000001</v>
      </c>
      <c r="R15" s="11">
        <f>119.83*85.9</f>
        <v>10293.397000000001</v>
      </c>
      <c r="S15" s="11">
        <f>119.83*88.68</f>
        <v>10626.5244</v>
      </c>
      <c r="T15" s="11">
        <f>119.83*33.47</f>
        <v>4010.7100999999998</v>
      </c>
      <c r="U15" s="12">
        <f>119.83*35.22</f>
        <v>4220.4125999999997</v>
      </c>
    </row>
    <row r="16" spans="1:21">
      <c r="A16" t="s">
        <v>50</v>
      </c>
      <c r="B16" s="16"/>
      <c r="C16" s="20"/>
      <c r="D16" s="18"/>
      <c r="E16" s="11">
        <f>7.5*119.83</f>
        <v>898.72500000000002</v>
      </c>
      <c r="F16" s="11"/>
      <c r="G16" s="11"/>
      <c r="H16" s="11"/>
      <c r="I16" s="4"/>
      <c r="J16" s="4"/>
      <c r="K16" s="4"/>
      <c r="L16" s="4"/>
      <c r="M16" s="4"/>
      <c r="O16" s="11"/>
      <c r="P16" s="11"/>
      <c r="Q16" s="11"/>
      <c r="R16" s="11"/>
      <c r="S16" s="11"/>
      <c r="T16" s="11"/>
      <c r="U16" s="12"/>
    </row>
    <row r="17" spans="1:21">
      <c r="A17" t="s">
        <v>28</v>
      </c>
      <c r="B17" s="16"/>
      <c r="C17" s="20"/>
      <c r="D17" s="18"/>
      <c r="E17" s="11">
        <f>5.8*119.83</f>
        <v>695.01400000000001</v>
      </c>
      <c r="F17" s="11">
        <f>119.83*24.35</f>
        <v>2917.8605000000002</v>
      </c>
      <c r="G17" s="11">
        <f>119.83*36.96</f>
        <v>4428.9168</v>
      </c>
      <c r="H17" s="11">
        <f>3200*0.081</f>
        <v>259.2</v>
      </c>
      <c r="I17" s="3">
        <v>1000</v>
      </c>
      <c r="J17" s="4">
        <v>1300</v>
      </c>
      <c r="K17" s="3">
        <v>790</v>
      </c>
      <c r="L17" s="3">
        <v>60</v>
      </c>
      <c r="M17" s="3">
        <v>230</v>
      </c>
      <c r="N17" s="3">
        <v>80</v>
      </c>
      <c r="O17" s="11">
        <f>119.83*149.75</f>
        <v>17944.5425</v>
      </c>
      <c r="P17" s="11">
        <v>6050</v>
      </c>
      <c r="Q17" s="11">
        <f>119.83*3.05</f>
        <v>365.48149999999998</v>
      </c>
      <c r="R17" s="11">
        <f>119.83*33.98</f>
        <v>4071.8233999999998</v>
      </c>
      <c r="S17" s="11">
        <f>119.83*77.37</f>
        <v>9271.2471000000005</v>
      </c>
      <c r="T17" s="11">
        <f>119.83*11.39</f>
        <v>1364.8637000000001</v>
      </c>
      <c r="U17" s="12">
        <f>119.83*7.28</f>
        <v>872.36239999999998</v>
      </c>
    </row>
    <row r="18" spans="1:21">
      <c r="A18" t="s">
        <v>29</v>
      </c>
      <c r="B18" s="16" t="s">
        <v>175</v>
      </c>
      <c r="C18" s="20" t="s">
        <v>170</v>
      </c>
      <c r="D18" s="18" t="s">
        <v>176</v>
      </c>
      <c r="E18" s="21">
        <f>24.2*119.83</f>
        <v>2899.886</v>
      </c>
      <c r="F18" s="24">
        <f>119.83*49.78</f>
        <v>5965.1373999999996</v>
      </c>
      <c r="G18" s="24">
        <f>119.83*152.95</f>
        <v>18327.998499999998</v>
      </c>
      <c r="H18" s="26">
        <f>7300*0.081</f>
        <v>591.30000000000007</v>
      </c>
      <c r="I18" s="4">
        <v>1400</v>
      </c>
      <c r="J18" s="28">
        <v>1700</v>
      </c>
      <c r="K18" s="3">
        <v>47</v>
      </c>
      <c r="L18" s="3">
        <v>120</v>
      </c>
      <c r="M18" s="31">
        <v>130</v>
      </c>
      <c r="N18" s="3">
        <v>9.4</v>
      </c>
      <c r="O18" s="11">
        <f>119.83*6.46</f>
        <v>774.10180000000003</v>
      </c>
      <c r="P18" s="32">
        <v>4000</v>
      </c>
      <c r="Q18" s="11">
        <f>119.83*1.95</f>
        <v>233.66849999999999</v>
      </c>
      <c r="R18" s="22">
        <f>119.83*117.73</f>
        <v>14107.5859</v>
      </c>
      <c r="S18" s="35">
        <f>119.83*78.45</f>
        <v>9400.6635000000006</v>
      </c>
      <c r="T18" s="36">
        <f>119.83*21.33</f>
        <v>2555.9739</v>
      </c>
      <c r="U18" s="12">
        <f>119.83*17.63</f>
        <v>2112.6028999999999</v>
      </c>
    </row>
    <row r="19" spans="1:21">
      <c r="A19" t="s">
        <v>30</v>
      </c>
      <c r="B19" s="16" t="s">
        <v>167</v>
      </c>
      <c r="C19" s="20" t="s">
        <v>177</v>
      </c>
      <c r="D19" s="18" t="s">
        <v>171</v>
      </c>
      <c r="E19" s="11">
        <f>6.4*119.83</f>
        <v>766.91200000000003</v>
      </c>
      <c r="F19" s="11">
        <f>119.83*5.16</f>
        <v>618.32280000000003</v>
      </c>
      <c r="G19" s="11">
        <f>119.83*3.09</f>
        <v>370.2747</v>
      </c>
      <c r="H19" s="26">
        <f>230*0.081</f>
        <v>18.63</v>
      </c>
      <c r="I19" s="3">
        <v>45</v>
      </c>
      <c r="J19" s="27">
        <v>130</v>
      </c>
      <c r="K19" s="3">
        <v>2</v>
      </c>
      <c r="L19" s="3">
        <v>490</v>
      </c>
      <c r="M19" s="31">
        <v>640</v>
      </c>
      <c r="N19" s="3">
        <v>65</v>
      </c>
      <c r="O19" s="22">
        <f>119.83*112.12</f>
        <v>13435.339600000001</v>
      </c>
      <c r="P19" s="33">
        <v>3755</v>
      </c>
      <c r="Q19" s="11">
        <f>119.83*9.33</f>
        <v>1118.0138999999999</v>
      </c>
      <c r="R19" s="11">
        <f>119.83*2.22</f>
        <v>266.02260000000001</v>
      </c>
      <c r="S19" s="11">
        <f>119.83*10.04</f>
        <v>1203.0931999999998</v>
      </c>
      <c r="T19" s="11">
        <f>119.83*7.63</f>
        <v>914.30290000000002</v>
      </c>
      <c r="U19" s="12">
        <f>119.83*4.88</f>
        <v>584.7704</v>
      </c>
    </row>
    <row r="20" spans="1:21">
      <c r="A20" t="s">
        <v>31</v>
      </c>
      <c r="B20" s="16"/>
      <c r="C20" s="20"/>
      <c r="D20" s="18"/>
      <c r="E20" s="11"/>
      <c r="F20" s="11"/>
      <c r="G20" s="11"/>
      <c r="H20" s="11">
        <f>2700*0.081</f>
        <v>218.70000000000002</v>
      </c>
      <c r="I20" s="3">
        <v>350</v>
      </c>
      <c r="J20" s="3">
        <v>310</v>
      </c>
      <c r="K20" s="3">
        <v>420</v>
      </c>
      <c r="L20" s="3">
        <v>230</v>
      </c>
      <c r="M20" s="3">
        <v>320</v>
      </c>
      <c r="N20" s="3">
        <v>130</v>
      </c>
      <c r="O20" s="11"/>
      <c r="P20" s="11"/>
      <c r="Q20" s="11"/>
      <c r="R20" s="11"/>
      <c r="S20" s="11"/>
      <c r="T20" s="11"/>
      <c r="U20" s="12"/>
    </row>
    <row r="21" spans="1:21">
      <c r="A21" t="s">
        <v>32</v>
      </c>
      <c r="B21" s="16"/>
      <c r="C21" s="20"/>
      <c r="D21" s="18">
        <v>2</v>
      </c>
      <c r="E21" s="11">
        <f>119.83*0.02</f>
        <v>2.3965999999999998</v>
      </c>
      <c r="F21" s="11"/>
      <c r="G21" s="11"/>
      <c r="I21" s="3">
        <v>0.13</v>
      </c>
      <c r="L21" s="3">
        <v>0.35</v>
      </c>
      <c r="O21" s="11"/>
      <c r="P21" s="11"/>
      <c r="Q21" s="11"/>
      <c r="R21" s="11"/>
      <c r="S21" s="11"/>
      <c r="T21" s="11"/>
      <c r="U21" s="12"/>
    </row>
    <row r="22" spans="1:21">
      <c r="A22" t="s">
        <v>33</v>
      </c>
      <c r="B22" s="16" t="s">
        <v>167</v>
      </c>
      <c r="C22" s="20" t="s">
        <v>170</v>
      </c>
      <c r="D22" s="18" t="s">
        <v>171</v>
      </c>
      <c r="E22" s="11">
        <f>11*119.83</f>
        <v>1318.1299999999999</v>
      </c>
      <c r="F22" s="24">
        <f>119.83*23.87</f>
        <v>2860.3421000000003</v>
      </c>
      <c r="G22" s="22">
        <f>119.83*77.97</f>
        <v>9343.1450999999997</v>
      </c>
      <c r="I22" s="3">
        <v>110</v>
      </c>
      <c r="L22" s="3">
        <v>250</v>
      </c>
      <c r="O22" s="11">
        <f>119.83*9.73</f>
        <v>1165.9458999999999</v>
      </c>
      <c r="P22" s="11"/>
      <c r="Q22" s="11">
        <f>119.83*3.29</f>
        <v>394.2407</v>
      </c>
      <c r="R22" s="22">
        <f>119.83*47.55</f>
        <v>5697.9164999999994</v>
      </c>
      <c r="S22" s="22">
        <f>119.83*69.72</f>
        <v>8354.5475999999999</v>
      </c>
      <c r="T22" s="11">
        <f>119.83*14.25</f>
        <v>1707.5774999999999</v>
      </c>
      <c r="U22" s="12">
        <f>119.83*9.86</f>
        <v>1181.5237999999999</v>
      </c>
    </row>
    <row r="23" spans="1:21">
      <c r="A23" t="s">
        <v>34</v>
      </c>
      <c r="B23" s="16"/>
      <c r="C23" s="20"/>
      <c r="D23" s="18" t="s">
        <v>163</v>
      </c>
      <c r="E23" s="11"/>
      <c r="F23" s="22">
        <f>119.83*0.08</f>
        <v>9.5863999999999994</v>
      </c>
      <c r="G23" s="22">
        <f>119.83*0.05</f>
        <v>5.9915000000000003</v>
      </c>
      <c r="I23" s="3">
        <v>0.19</v>
      </c>
      <c r="L23" s="3">
        <v>0.55000000000000004</v>
      </c>
      <c r="O23" s="11">
        <f>119.83*0.01</f>
        <v>1.1982999999999999</v>
      </c>
      <c r="P23" s="11"/>
      <c r="Q23" s="22">
        <f>119.83*0.12</f>
        <v>14.3796</v>
      </c>
      <c r="R23" s="22">
        <f>119.83*0.07</f>
        <v>8.3881000000000014</v>
      </c>
      <c r="S23" s="22">
        <f>119.83*0.12</f>
        <v>14.3796</v>
      </c>
      <c r="T23" s="22">
        <f>119.83*0.05</f>
        <v>5.9915000000000003</v>
      </c>
      <c r="U23" s="38">
        <f>119.83*0.05</f>
        <v>5.9915000000000003</v>
      </c>
    </row>
    <row r="24" spans="1:21">
      <c r="A24" t="s">
        <v>35</v>
      </c>
      <c r="B24" s="16"/>
      <c r="C24" s="20"/>
      <c r="D24" s="18" t="s">
        <v>164</v>
      </c>
      <c r="E24" s="22">
        <f>7.12*119.83</f>
        <v>853.18960000000004</v>
      </c>
      <c r="F24" s="22">
        <f>119.83*5.65</f>
        <v>677.03950000000009</v>
      </c>
      <c r="G24" s="11">
        <f>119.83*4.29</f>
        <v>514.07069999999999</v>
      </c>
      <c r="I24" s="3">
        <v>1.3</v>
      </c>
      <c r="L24" s="30">
        <v>160</v>
      </c>
      <c r="O24" s="22">
        <f>119.83*0.84</f>
        <v>100.65719999999999</v>
      </c>
      <c r="P24" s="11"/>
      <c r="Q24" s="22">
        <f>119.83*1.41</f>
        <v>168.96029999999999</v>
      </c>
      <c r="R24" s="22">
        <f>119.83*7.83</f>
        <v>938.26890000000003</v>
      </c>
      <c r="S24" s="22">
        <f>119.83*3.45</f>
        <v>413.4135</v>
      </c>
      <c r="T24" s="22">
        <f>119.83*2.22</f>
        <v>266.02260000000001</v>
      </c>
      <c r="U24" s="38">
        <f>119.83*2.5</f>
        <v>299.57499999999999</v>
      </c>
    </row>
    <row r="25" spans="1:21">
      <c r="A25" t="s">
        <v>36</v>
      </c>
      <c r="B25" s="16" t="s">
        <v>172</v>
      </c>
      <c r="C25" s="20" t="s">
        <v>173</v>
      </c>
      <c r="D25" s="18" t="s">
        <v>174</v>
      </c>
      <c r="E25" s="11">
        <f>5.8*119.83</f>
        <v>695.01400000000001</v>
      </c>
      <c r="F25" s="23">
        <f>119.83*10.53</f>
        <v>1261.8099</v>
      </c>
      <c r="G25" s="25">
        <f>119.83*14.06</f>
        <v>1684.8098</v>
      </c>
      <c r="I25" s="3">
        <v>170</v>
      </c>
      <c r="J25" s="10"/>
      <c r="L25" s="3">
        <v>75</v>
      </c>
      <c r="O25" s="11">
        <f>119.83*0.33</f>
        <v>39.543900000000001</v>
      </c>
      <c r="P25" s="11"/>
      <c r="Q25" s="11">
        <f>119.83*0.56</f>
        <v>67.104800000000012</v>
      </c>
      <c r="R25" s="34">
        <f>119.83*10.16</f>
        <v>1217.4728</v>
      </c>
      <c r="S25" s="22">
        <f>119.83*30.92</f>
        <v>3705.1436000000003</v>
      </c>
      <c r="T25" s="11">
        <f>119.83*6.05</f>
        <v>724.97149999999999</v>
      </c>
      <c r="U25" s="12">
        <f>119.83*3.82</f>
        <v>457.75059999999996</v>
      </c>
    </row>
    <row r="26" spans="1:21">
      <c r="A26" t="s">
        <v>37</v>
      </c>
      <c r="B26" s="16"/>
      <c r="C26" s="20"/>
      <c r="D26" s="18"/>
      <c r="E26" s="11">
        <f>119.83*0.32</f>
        <v>38.345599999999997</v>
      </c>
      <c r="F26" s="11">
        <f>119.83*0.59</f>
        <v>70.699699999999993</v>
      </c>
      <c r="G26" s="11">
        <f>119.83*0.61</f>
        <v>73.096299999999999</v>
      </c>
      <c r="I26" s="3">
        <v>0.54</v>
      </c>
      <c r="L26" s="3">
        <v>2.7</v>
      </c>
      <c r="O26" s="11">
        <f>119.83*0.01</f>
        <v>1.1982999999999999</v>
      </c>
      <c r="P26" s="11"/>
      <c r="Q26" s="11">
        <f>119.83*0.02</f>
        <v>2.3965999999999998</v>
      </c>
      <c r="R26" s="11">
        <f>119.83*0.7</f>
        <v>83.881</v>
      </c>
      <c r="S26" s="11">
        <f>119.83*0.81</f>
        <v>97.062300000000008</v>
      </c>
      <c r="T26" s="11">
        <f>119.83*0.16</f>
        <v>19.172799999999999</v>
      </c>
      <c r="U26" s="12">
        <f>119.83*0.16</f>
        <v>19.172799999999999</v>
      </c>
    </row>
    <row r="27" spans="1:21">
      <c r="A27" t="s">
        <v>38</v>
      </c>
      <c r="B27" s="16"/>
      <c r="C27" s="20"/>
      <c r="D27" s="18"/>
      <c r="E27" s="11">
        <f>119.83*0.08</f>
        <v>9.5863999999999994</v>
      </c>
      <c r="F27" s="11">
        <f>119.83*0.29</f>
        <v>34.750699999999995</v>
      </c>
      <c r="G27" s="11">
        <f>119.83*0.17</f>
        <v>20.371100000000002</v>
      </c>
      <c r="I27" s="3">
        <v>3.1</v>
      </c>
      <c r="L27" s="3">
        <v>1.6</v>
      </c>
      <c r="O27" s="11">
        <f>119.83*0.02</f>
        <v>2.3965999999999998</v>
      </c>
      <c r="P27" s="11"/>
      <c r="Q27" s="11">
        <f>119.83*0.1</f>
        <v>11.983000000000001</v>
      </c>
      <c r="R27" s="11">
        <f>119.83*0.15</f>
        <v>17.974499999999999</v>
      </c>
      <c r="S27" s="11">
        <f>119.83*0.73</f>
        <v>87.475899999999996</v>
      </c>
      <c r="T27" s="11">
        <f>119.83*0.13</f>
        <v>15.5779</v>
      </c>
      <c r="U27" s="12">
        <f>119.83*0.11</f>
        <v>13.1813</v>
      </c>
    </row>
    <row r="28" spans="1:21">
      <c r="A28" t="s">
        <v>165</v>
      </c>
      <c r="B28" s="16"/>
      <c r="C28" s="20"/>
      <c r="D28" s="18" t="s">
        <v>166</v>
      </c>
    </row>
    <row r="29" spans="1:21">
      <c r="I29" s="3" t="s">
        <v>21</v>
      </c>
      <c r="J29" s="3" t="s">
        <v>12</v>
      </c>
      <c r="K29" s="3" t="s">
        <v>12</v>
      </c>
      <c r="L29" s="3" t="s">
        <v>19</v>
      </c>
      <c r="M29" s="3" t="s">
        <v>12</v>
      </c>
      <c r="N29" s="3" t="s">
        <v>12</v>
      </c>
    </row>
    <row r="30" spans="1:21">
      <c r="I30" s="3" t="s">
        <v>22</v>
      </c>
      <c r="L30" s="3" t="s">
        <v>20</v>
      </c>
    </row>
    <row r="35" spans="5:20">
      <c r="E35"/>
      <c r="F35"/>
      <c r="G35"/>
      <c r="H35"/>
      <c r="I35" s="3" t="s">
        <v>45</v>
      </c>
      <c r="K35"/>
      <c r="L35"/>
      <c r="M35"/>
      <c r="N35"/>
      <c r="O35"/>
      <c r="P35"/>
      <c r="Q35"/>
      <c r="R35"/>
      <c r="S35"/>
      <c r="T35"/>
    </row>
    <row r="37" spans="5:20">
      <c r="E37"/>
      <c r="F37"/>
      <c r="G37"/>
      <c r="H37"/>
      <c r="J37" s="3" t="s">
        <v>45</v>
      </c>
      <c r="K37"/>
      <c r="L37"/>
      <c r="M37"/>
      <c r="N37"/>
      <c r="O37"/>
      <c r="P37"/>
      <c r="Q37"/>
      <c r="R37"/>
      <c r="S37"/>
      <c r="T37"/>
    </row>
    <row r="38" spans="5:20">
      <c r="E38"/>
      <c r="F38"/>
      <c r="G38"/>
      <c r="H38"/>
      <c r="I38" s="3" t="s">
        <v>45</v>
      </c>
      <c r="J38" s="3" t="s">
        <v>45</v>
      </c>
      <c r="K38"/>
      <c r="L38"/>
      <c r="M38"/>
      <c r="N38"/>
      <c r="O38"/>
      <c r="P38"/>
      <c r="Q38"/>
      <c r="R38"/>
      <c r="S38"/>
      <c r="T38"/>
    </row>
    <row r="39" spans="5:20">
      <c r="E39"/>
      <c r="F39"/>
      <c r="G39"/>
      <c r="H39"/>
      <c r="I39" s="9" t="s">
        <v>45</v>
      </c>
      <c r="J39" s="3" t="s">
        <v>45</v>
      </c>
      <c r="K39"/>
      <c r="L39"/>
      <c r="M39"/>
      <c r="N39"/>
      <c r="O39"/>
      <c r="P39"/>
      <c r="Q39"/>
      <c r="R39"/>
      <c r="S39"/>
      <c r="T39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5" sqref="A5:XFD5"/>
    </sheetView>
  </sheetViews>
  <sheetFormatPr baseColWidth="10" defaultRowHeight="15" x14ac:dyDescent="0"/>
  <cols>
    <col min="1" max="1" width="19" customWidth="1"/>
    <col min="2" max="2" width="22" style="3" customWidth="1"/>
    <col min="3" max="3" width="25.5" style="3" customWidth="1"/>
    <col min="4" max="4" width="20.5" style="3" customWidth="1"/>
    <col min="5" max="5" width="17" style="3" customWidth="1"/>
    <col min="6" max="6" width="21.6640625" style="3" customWidth="1"/>
    <col min="7" max="7" width="21" style="3" customWidth="1"/>
    <col min="8" max="8" width="21.1640625" style="3" customWidth="1"/>
    <col min="9" max="9" width="22" style="3" customWidth="1"/>
    <col min="10" max="10" width="20.6640625" style="3" customWidth="1"/>
    <col min="11" max="11" width="21.33203125" style="3" customWidth="1"/>
  </cols>
  <sheetData>
    <row r="1" spans="1:11" s="39" customFormat="1" ht="18">
      <c r="A1" s="39" t="s">
        <v>181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4" spans="1:11" s="1" customFormat="1">
      <c r="B4" s="2" t="s">
        <v>46</v>
      </c>
      <c r="C4" s="2" t="s">
        <v>108</v>
      </c>
      <c r="D4" s="2" t="s">
        <v>61</v>
      </c>
      <c r="E4" s="2" t="s">
        <v>0</v>
      </c>
      <c r="F4" s="2" t="s">
        <v>98</v>
      </c>
      <c r="G4" s="2" t="s">
        <v>74</v>
      </c>
      <c r="H4" s="2" t="s">
        <v>86</v>
      </c>
      <c r="I4" s="2" t="s">
        <v>129</v>
      </c>
      <c r="J4" s="2" t="s">
        <v>119</v>
      </c>
      <c r="K4" s="2" t="s">
        <v>140</v>
      </c>
    </row>
    <row r="5" spans="1:11" s="5" customFormat="1">
      <c r="B5" s="6">
        <v>41465</v>
      </c>
      <c r="C5" s="6">
        <v>42045</v>
      </c>
      <c r="D5" s="6">
        <v>42045</v>
      </c>
      <c r="E5" s="6">
        <v>42005</v>
      </c>
      <c r="F5" s="6">
        <v>42045</v>
      </c>
      <c r="G5" s="6">
        <v>42045</v>
      </c>
      <c r="H5" s="6">
        <v>42045</v>
      </c>
      <c r="I5" s="6">
        <v>42045</v>
      </c>
      <c r="J5" s="6">
        <v>42045</v>
      </c>
      <c r="K5" s="6">
        <v>42045</v>
      </c>
    </row>
    <row r="6" spans="1:11" s="1" customFormat="1">
      <c r="B6" s="2" t="s">
        <v>47</v>
      </c>
      <c r="C6" s="2" t="s">
        <v>62</v>
      </c>
      <c r="D6" s="2" t="s">
        <v>62</v>
      </c>
      <c r="E6" s="2" t="s">
        <v>1</v>
      </c>
      <c r="F6" s="2" t="s">
        <v>62</v>
      </c>
      <c r="G6" s="2" t="s">
        <v>62</v>
      </c>
      <c r="H6" s="2" t="s">
        <v>62</v>
      </c>
      <c r="I6" s="2" t="s">
        <v>62</v>
      </c>
      <c r="J6" s="2" t="s">
        <v>62</v>
      </c>
      <c r="K6" s="2" t="s">
        <v>62</v>
      </c>
    </row>
    <row r="7" spans="1:11">
      <c r="A7" t="s">
        <v>4</v>
      </c>
      <c r="C7" s="3">
        <v>7.86</v>
      </c>
      <c r="D7" s="3">
        <v>8.44</v>
      </c>
      <c r="E7" s="3">
        <v>4.3</v>
      </c>
      <c r="F7" s="3">
        <v>5.1100000000000003</v>
      </c>
      <c r="G7" s="3">
        <v>4.4000000000000004</v>
      </c>
      <c r="H7" s="3">
        <v>5.38</v>
      </c>
      <c r="I7" s="3">
        <v>7.97</v>
      </c>
      <c r="J7" s="3">
        <v>6.97</v>
      </c>
      <c r="K7" s="3">
        <v>7.88</v>
      </c>
    </row>
    <row r="8" spans="1:11">
      <c r="A8" t="s">
        <v>2</v>
      </c>
      <c r="B8" s="3">
        <v>4.7</v>
      </c>
      <c r="C8" s="3">
        <v>21.8</v>
      </c>
      <c r="D8" s="3">
        <v>48.97</v>
      </c>
      <c r="E8" s="3">
        <v>8.1</v>
      </c>
      <c r="F8" s="3">
        <v>70.63</v>
      </c>
      <c r="G8" s="3">
        <v>5.03</v>
      </c>
      <c r="H8" s="3">
        <v>59.48</v>
      </c>
      <c r="I8" s="3">
        <v>27.29</v>
      </c>
      <c r="J8" s="3">
        <v>7.95</v>
      </c>
      <c r="K8" s="3">
        <v>4.6500000000000004</v>
      </c>
    </row>
    <row r="9" spans="1:11">
      <c r="A9" t="s">
        <v>3</v>
      </c>
      <c r="B9" s="3">
        <v>62.4</v>
      </c>
      <c r="E9" s="3">
        <v>96.6</v>
      </c>
    </row>
    <row r="10" spans="1:11">
      <c r="A10" t="s">
        <v>6</v>
      </c>
    </row>
    <row r="11" spans="1:11">
      <c r="A11" t="s">
        <v>23</v>
      </c>
      <c r="E11" s="3" t="s">
        <v>13</v>
      </c>
    </row>
    <row r="12" spans="1:11">
      <c r="A12" t="s">
        <v>24</v>
      </c>
      <c r="E12" s="3" t="s">
        <v>7</v>
      </c>
    </row>
    <row r="13" spans="1:11">
      <c r="A13" t="s">
        <v>25</v>
      </c>
      <c r="E13" s="3" t="s">
        <v>8</v>
      </c>
    </row>
    <row r="14" spans="1:11">
      <c r="A14" t="s">
        <v>26</v>
      </c>
      <c r="B14" s="3" t="s">
        <v>49</v>
      </c>
      <c r="C14" s="3" t="s">
        <v>110</v>
      </c>
      <c r="D14" s="3" t="s">
        <v>64</v>
      </c>
      <c r="E14" s="3" t="s">
        <v>9</v>
      </c>
      <c r="F14" s="3" t="s">
        <v>100</v>
      </c>
      <c r="G14" s="3" t="s">
        <v>76</v>
      </c>
      <c r="H14" s="3" t="s">
        <v>88</v>
      </c>
      <c r="I14" s="3" t="s">
        <v>130</v>
      </c>
      <c r="J14" s="3" t="s">
        <v>120</v>
      </c>
      <c r="K14" s="3" t="s">
        <v>142</v>
      </c>
    </row>
    <row r="15" spans="1:11">
      <c r="A15" t="s">
        <v>27</v>
      </c>
      <c r="B15" s="3" t="s">
        <v>48</v>
      </c>
      <c r="C15" s="3" t="s">
        <v>109</v>
      </c>
      <c r="D15" s="3" t="s">
        <v>63</v>
      </c>
      <c r="E15" s="3" t="s">
        <v>14</v>
      </c>
      <c r="F15" s="3" t="s">
        <v>99</v>
      </c>
      <c r="G15" s="3" t="s">
        <v>75</v>
      </c>
      <c r="H15" s="3" t="s">
        <v>87</v>
      </c>
      <c r="I15" s="3" t="s">
        <v>131</v>
      </c>
      <c r="J15" s="3" t="s">
        <v>121</v>
      </c>
      <c r="K15" s="3" t="s">
        <v>141</v>
      </c>
    </row>
    <row r="16" spans="1:11">
      <c r="A16" t="s">
        <v>50</v>
      </c>
      <c r="B16" s="3" t="s">
        <v>51</v>
      </c>
    </row>
    <row r="17" spans="1:11">
      <c r="A17" t="s">
        <v>28</v>
      </c>
      <c r="B17" s="3" t="s">
        <v>52</v>
      </c>
      <c r="C17" s="3" t="s">
        <v>111</v>
      </c>
      <c r="D17" s="3" t="s">
        <v>65</v>
      </c>
      <c r="E17" s="3" t="s">
        <v>15</v>
      </c>
      <c r="F17" s="3" t="s">
        <v>101</v>
      </c>
      <c r="G17" s="3" t="s">
        <v>77</v>
      </c>
      <c r="H17" s="3" t="s">
        <v>89</v>
      </c>
      <c r="I17" s="3" t="s">
        <v>132</v>
      </c>
      <c r="J17" s="3" t="s">
        <v>122</v>
      </c>
      <c r="K17" s="3" t="s">
        <v>143</v>
      </c>
    </row>
    <row r="18" spans="1:11">
      <c r="A18" t="s">
        <v>29</v>
      </c>
      <c r="B18" s="3" t="s">
        <v>53</v>
      </c>
      <c r="C18" s="3" t="s">
        <v>112</v>
      </c>
      <c r="D18" s="3" t="s">
        <v>66</v>
      </c>
      <c r="E18" s="3" t="s">
        <v>16</v>
      </c>
      <c r="F18" s="3" t="s">
        <v>102</v>
      </c>
      <c r="G18" s="3" t="s">
        <v>78</v>
      </c>
      <c r="H18" s="3" t="s">
        <v>90</v>
      </c>
      <c r="I18" s="3" t="s">
        <v>133</v>
      </c>
      <c r="J18" s="3" t="s">
        <v>123</v>
      </c>
      <c r="K18" s="3" t="s">
        <v>144</v>
      </c>
    </row>
    <row r="19" spans="1:11">
      <c r="A19" t="s">
        <v>30</v>
      </c>
      <c r="B19" s="3" t="s">
        <v>58</v>
      </c>
      <c r="C19" s="3" t="s">
        <v>115</v>
      </c>
      <c r="D19" s="3" t="s">
        <v>69</v>
      </c>
      <c r="E19" s="3" t="s">
        <v>10</v>
      </c>
      <c r="F19" s="3" t="s">
        <v>105</v>
      </c>
      <c r="G19" s="3" t="s">
        <v>81</v>
      </c>
      <c r="H19" s="3" t="s">
        <v>93</v>
      </c>
      <c r="I19" s="3" t="s">
        <v>134</v>
      </c>
      <c r="J19" s="3" t="s">
        <v>126</v>
      </c>
      <c r="K19" s="3" t="s">
        <v>145</v>
      </c>
    </row>
    <row r="20" spans="1:11">
      <c r="A20" t="s">
        <v>31</v>
      </c>
      <c r="E20" s="3" t="s">
        <v>17</v>
      </c>
    </row>
    <row r="21" spans="1:11">
      <c r="A21" t="s">
        <v>32</v>
      </c>
      <c r="B21" s="3" t="s">
        <v>56</v>
      </c>
    </row>
    <row r="22" spans="1:11">
      <c r="A22" t="s">
        <v>33</v>
      </c>
      <c r="B22" s="3" t="s">
        <v>54</v>
      </c>
      <c r="C22" s="3" t="s">
        <v>113</v>
      </c>
      <c r="D22" s="3" t="s">
        <v>67</v>
      </c>
      <c r="F22" s="3" t="s">
        <v>103</v>
      </c>
      <c r="G22" s="3" t="s">
        <v>79</v>
      </c>
      <c r="H22" s="3" t="s">
        <v>91</v>
      </c>
      <c r="I22" s="3" t="s">
        <v>135</v>
      </c>
      <c r="J22" s="3" t="s">
        <v>124</v>
      </c>
      <c r="K22" s="3" t="s">
        <v>146</v>
      </c>
    </row>
    <row r="23" spans="1:11">
      <c r="A23" t="s">
        <v>34</v>
      </c>
      <c r="C23" s="3" t="s">
        <v>59</v>
      </c>
      <c r="D23" s="3" t="s">
        <v>70</v>
      </c>
      <c r="F23" s="3" t="s">
        <v>106</v>
      </c>
      <c r="G23" s="3" t="s">
        <v>82</v>
      </c>
      <c r="H23" s="3" t="s">
        <v>94</v>
      </c>
      <c r="I23" s="3" t="s">
        <v>82</v>
      </c>
      <c r="J23" s="3" t="s">
        <v>70</v>
      </c>
      <c r="K23" s="3" t="s">
        <v>70</v>
      </c>
    </row>
    <row r="24" spans="1:11">
      <c r="A24" t="s">
        <v>35</v>
      </c>
      <c r="B24" s="3" t="s">
        <v>60</v>
      </c>
      <c r="C24" s="3" t="s">
        <v>117</v>
      </c>
      <c r="D24" s="3" t="s">
        <v>72</v>
      </c>
      <c r="F24" s="3" t="s">
        <v>107</v>
      </c>
      <c r="G24" s="3" t="s">
        <v>84</v>
      </c>
      <c r="H24" s="3" t="s">
        <v>96</v>
      </c>
      <c r="I24" s="3" t="s">
        <v>137</v>
      </c>
      <c r="J24" s="3" t="s">
        <v>93</v>
      </c>
      <c r="K24" s="3" t="s">
        <v>147</v>
      </c>
    </row>
    <row r="25" spans="1:11">
      <c r="A25" t="s">
        <v>36</v>
      </c>
      <c r="B25" s="3" t="s">
        <v>55</v>
      </c>
      <c r="C25" s="3" t="s">
        <v>114</v>
      </c>
      <c r="D25" s="3" t="s">
        <v>68</v>
      </c>
      <c r="F25" s="3" t="s">
        <v>104</v>
      </c>
      <c r="G25" s="3" t="s">
        <v>80</v>
      </c>
      <c r="H25" s="3" t="s">
        <v>92</v>
      </c>
      <c r="I25" s="3" t="s">
        <v>138</v>
      </c>
      <c r="J25" s="3" t="s">
        <v>125</v>
      </c>
      <c r="K25" s="3" t="s">
        <v>148</v>
      </c>
    </row>
    <row r="26" spans="1:11">
      <c r="A26" t="s">
        <v>37</v>
      </c>
      <c r="B26" s="3" t="s">
        <v>57</v>
      </c>
      <c r="C26" s="3" t="s">
        <v>116</v>
      </c>
      <c r="D26" s="3" t="s">
        <v>71</v>
      </c>
      <c r="F26" s="3" t="s">
        <v>106</v>
      </c>
      <c r="G26" s="3" t="s">
        <v>83</v>
      </c>
      <c r="H26" s="3" t="s">
        <v>95</v>
      </c>
      <c r="I26" s="3" t="s">
        <v>136</v>
      </c>
      <c r="J26" s="3" t="s">
        <v>127</v>
      </c>
      <c r="K26" s="3" t="s">
        <v>127</v>
      </c>
    </row>
    <row r="27" spans="1:11">
      <c r="A27" t="s">
        <v>38</v>
      </c>
      <c r="B27" s="3" t="s">
        <v>59</v>
      </c>
      <c r="C27" s="3" t="s">
        <v>118</v>
      </c>
      <c r="D27" s="3" t="s">
        <v>73</v>
      </c>
      <c r="F27" s="3" t="s">
        <v>83</v>
      </c>
      <c r="G27" s="3" t="s">
        <v>85</v>
      </c>
      <c r="H27" s="3" t="s">
        <v>97</v>
      </c>
      <c r="I27" s="3" t="s">
        <v>139</v>
      </c>
      <c r="J27" s="3" t="s">
        <v>128</v>
      </c>
      <c r="K27" s="3" t="s">
        <v>149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mg per L</vt:lpstr>
      <vt:lpstr>no conversion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dcterms:created xsi:type="dcterms:W3CDTF">2015-06-17T22:01:46Z</dcterms:created>
  <dcterms:modified xsi:type="dcterms:W3CDTF">2015-06-24T12:25:32Z</dcterms:modified>
</cp:coreProperties>
</file>