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RH_Air/Documents/Vermont_Tech_AY'19-20/MEC3040_F'19/"/>
    </mc:Choice>
  </mc:AlternateContent>
  <xr:revisionPtr revIDLastSave="0" documentId="13_ncr:1_{E28683D2-2546-A846-B457-EDE94F9BBE42}" xr6:coauthVersionLast="45" xr6:coauthVersionMax="45" xr10:uidLastSave="{00000000-0000-0000-0000-000000000000}"/>
  <bookViews>
    <workbookView xWindow="1020" yWindow="460" windowWidth="25440" windowHeight="17540" tabRatio="500" activeTab="2" xr2:uid="{00000000-000D-0000-FFFF-FFFF00000000}"/>
  </bookViews>
  <sheets>
    <sheet name="CN calculation" sheetId="1" r:id="rId1"/>
    <sheet name="biogas calculation" sheetId="2" r:id="rId2"/>
    <sheet name="  all calculations  " sheetId="3" r:id="rId3"/>
    <sheet name="+ graphic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3" l="1"/>
  <c r="R9" i="3"/>
  <c r="R11" i="3"/>
  <c r="R12" i="3"/>
  <c r="R13" i="3"/>
  <c r="R14" i="3"/>
  <c r="R15" i="3"/>
  <c r="R16" i="3"/>
  <c r="R21" i="3"/>
  <c r="R22" i="3"/>
  <c r="S22" i="3" s="1"/>
  <c r="R23" i="3"/>
  <c r="S23" i="3" s="1"/>
  <c r="R25" i="3"/>
  <c r="S8" i="3"/>
  <c r="S9" i="3"/>
  <c r="S11" i="3"/>
  <c r="S12" i="3"/>
  <c r="S13" i="3"/>
  <c r="S14" i="3"/>
  <c r="S15" i="3"/>
  <c r="S16" i="3"/>
  <c r="S21" i="3"/>
  <c r="S25" i="3"/>
  <c r="B28" i="3" l="1"/>
  <c r="B32" i="3" s="1"/>
  <c r="C26" i="3"/>
  <c r="E26" i="3"/>
  <c r="K26" i="3"/>
  <c r="J26" i="3"/>
  <c r="O13" i="3"/>
  <c r="P13" i="3" s="1"/>
  <c r="C25" i="3"/>
  <c r="L25" i="3" s="1"/>
  <c r="E25" i="3"/>
  <c r="E21" i="3"/>
  <c r="E22" i="3"/>
  <c r="C21" i="3"/>
  <c r="O21" i="3" s="1"/>
  <c r="P21" i="3" s="1"/>
  <c r="C22" i="3"/>
  <c r="O22" i="3" s="1"/>
  <c r="P22" i="3" s="1"/>
  <c r="E13" i="3"/>
  <c r="E14" i="3"/>
  <c r="E15" i="3"/>
  <c r="E16" i="3"/>
  <c r="C13" i="3"/>
  <c r="C14" i="3"/>
  <c r="C15" i="3"/>
  <c r="O15" i="3" s="1"/>
  <c r="P15" i="3" s="1"/>
  <c r="C16" i="3"/>
  <c r="O16" i="3" s="1"/>
  <c r="P16" i="3" s="1"/>
  <c r="E12" i="3"/>
  <c r="K22" i="3"/>
  <c r="J25" i="3"/>
  <c r="K25" i="3" s="1"/>
  <c r="J22" i="3"/>
  <c r="J21" i="3"/>
  <c r="K21" i="3" s="1"/>
  <c r="K12" i="3"/>
  <c r="M12" i="3" s="1"/>
  <c r="K15" i="3"/>
  <c r="K16" i="3"/>
  <c r="J16" i="3"/>
  <c r="J15" i="3"/>
  <c r="J14" i="3"/>
  <c r="K14" i="3" s="1"/>
  <c r="J13" i="3"/>
  <c r="K13" i="3" s="1"/>
  <c r="J12" i="3"/>
  <c r="C12" i="3"/>
  <c r="O12" i="3" s="1"/>
  <c r="P12" i="3" s="1"/>
  <c r="O11" i="3"/>
  <c r="D24" i="4"/>
  <c r="D23" i="4"/>
  <c r="D19" i="4"/>
  <c r="H18" i="4"/>
  <c r="H21" i="4" s="1"/>
  <c r="D18" i="4"/>
  <c r="H16" i="4"/>
  <c r="I16" i="4" s="1"/>
  <c r="A16" i="4"/>
  <c r="E16" i="4" s="1"/>
  <c r="J16" i="4" s="1"/>
  <c r="H15" i="4"/>
  <c r="I15" i="4" s="1"/>
  <c r="A15" i="4"/>
  <c r="E15" i="4" s="1"/>
  <c r="J15" i="4" s="1"/>
  <c r="H14" i="4"/>
  <c r="I14" i="4" s="1"/>
  <c r="A14" i="4"/>
  <c r="E14" i="4" s="1"/>
  <c r="J14" i="4" s="1"/>
  <c r="H13" i="4"/>
  <c r="I13" i="4" s="1"/>
  <c r="A13" i="4"/>
  <c r="E13" i="4" s="1"/>
  <c r="J13" i="4" s="1"/>
  <c r="H12" i="4"/>
  <c r="I12" i="4" s="1"/>
  <c r="A12" i="4"/>
  <c r="E12" i="4" s="1"/>
  <c r="J12" i="4" s="1"/>
  <c r="H11" i="4"/>
  <c r="I11" i="4" s="1"/>
  <c r="A11" i="4"/>
  <c r="E11" i="4" s="1"/>
  <c r="J11" i="4" s="1"/>
  <c r="H10" i="4"/>
  <c r="I10" i="4" s="1"/>
  <c r="A10" i="4"/>
  <c r="E10" i="4" s="1"/>
  <c r="J10" i="4" s="1"/>
  <c r="H9" i="4"/>
  <c r="I9" i="4" s="1"/>
  <c r="A9" i="4"/>
  <c r="E9" i="4" s="1"/>
  <c r="J9" i="4" s="1"/>
  <c r="H8" i="4"/>
  <c r="I8" i="4" s="1"/>
  <c r="A8" i="4"/>
  <c r="E8" i="4" s="1"/>
  <c r="J8" i="4" s="1"/>
  <c r="H7" i="4"/>
  <c r="I7" i="4" s="1"/>
  <c r="A7" i="4"/>
  <c r="E7" i="4" s="1"/>
  <c r="J7" i="4" s="1"/>
  <c r="H6" i="4"/>
  <c r="I6" i="4" s="1"/>
  <c r="A6" i="4"/>
  <c r="E6" i="4" s="1"/>
  <c r="E19" i="3"/>
  <c r="J19" i="3"/>
  <c r="K19" i="3" s="1"/>
  <c r="C19" i="3"/>
  <c r="O19" i="3" s="1"/>
  <c r="R19" i="3" s="1"/>
  <c r="S19" i="3" s="1"/>
  <c r="E8" i="3"/>
  <c r="E9" i="3"/>
  <c r="E10" i="3"/>
  <c r="E11" i="3"/>
  <c r="E20" i="3"/>
  <c r="E23" i="3"/>
  <c r="E24" i="3"/>
  <c r="E7" i="3"/>
  <c r="J24" i="3"/>
  <c r="K24" i="3" s="1"/>
  <c r="J23" i="3"/>
  <c r="J20" i="3"/>
  <c r="K20" i="3" s="1"/>
  <c r="J11" i="3"/>
  <c r="J10" i="3"/>
  <c r="K10" i="3" s="1"/>
  <c r="J9" i="3"/>
  <c r="J8" i="3"/>
  <c r="J7" i="3"/>
  <c r="C24" i="3"/>
  <c r="C23" i="3"/>
  <c r="O23" i="3" s="1"/>
  <c r="C20" i="3"/>
  <c r="O20" i="3" s="1"/>
  <c r="R20" i="3" s="1"/>
  <c r="S20" i="3" s="1"/>
  <c r="C11" i="3"/>
  <c r="C10" i="3"/>
  <c r="O10" i="3" s="1"/>
  <c r="R10" i="3" s="1"/>
  <c r="S10" i="3" s="1"/>
  <c r="C9" i="3"/>
  <c r="C8" i="3"/>
  <c r="O8" i="3" s="1"/>
  <c r="C7" i="3"/>
  <c r="O7" i="3" s="1"/>
  <c r="R7" i="3" s="1"/>
  <c r="M14" i="3" l="1"/>
  <c r="L12" i="3"/>
  <c r="L26" i="3"/>
  <c r="L13" i="3"/>
  <c r="M13" i="3"/>
  <c r="M26" i="3"/>
  <c r="O26" i="3"/>
  <c r="O9" i="3"/>
  <c r="P9" i="3" s="1"/>
  <c r="P7" i="3"/>
  <c r="E28" i="3"/>
  <c r="B34" i="3" s="1"/>
  <c r="C28" i="3"/>
  <c r="M16" i="3"/>
  <c r="M22" i="3"/>
  <c r="L14" i="3"/>
  <c r="M15" i="3"/>
  <c r="L16" i="3"/>
  <c r="O14" i="3"/>
  <c r="P14" i="3" s="1"/>
  <c r="L22" i="3"/>
  <c r="O25" i="3"/>
  <c r="P25" i="3" s="1"/>
  <c r="M25" i="3"/>
  <c r="M21" i="3"/>
  <c r="L21" i="3"/>
  <c r="L15" i="3"/>
  <c r="P8" i="3"/>
  <c r="O24" i="3"/>
  <c r="P23" i="3"/>
  <c r="P10" i="3"/>
  <c r="P11" i="3"/>
  <c r="P20" i="3"/>
  <c r="L19" i="3"/>
  <c r="M19" i="3"/>
  <c r="E18" i="4"/>
  <c r="E19" i="4" s="1"/>
  <c r="J6" i="4"/>
  <c r="I18" i="4"/>
  <c r="H20" i="4"/>
  <c r="H24" i="4"/>
  <c r="H25" i="4" s="1"/>
  <c r="P19" i="3"/>
  <c r="K8" i="3"/>
  <c r="M8" i="3" s="1"/>
  <c r="L23" i="3"/>
  <c r="M10" i="3"/>
  <c r="K7" i="3"/>
  <c r="K11" i="3"/>
  <c r="M11" i="3" s="1"/>
  <c r="L7" i="3"/>
  <c r="L11" i="3"/>
  <c r="L8" i="3"/>
  <c r="M20" i="3"/>
  <c r="K23" i="3"/>
  <c r="K9" i="3"/>
  <c r="L24" i="3"/>
  <c r="L20" i="3"/>
  <c r="L10" i="3"/>
  <c r="L9" i="3"/>
  <c r="M24" i="3"/>
  <c r="E22" i="2"/>
  <c r="E44" i="2"/>
  <c r="C27" i="2"/>
  <c r="E27" i="2"/>
  <c r="E40" i="2" s="1"/>
  <c r="C28" i="2"/>
  <c r="E28" i="2"/>
  <c r="C29" i="2"/>
  <c r="E29" i="2"/>
  <c r="C30" i="2"/>
  <c r="E30" i="2"/>
  <c r="C31" i="2"/>
  <c r="E31" i="2"/>
  <c r="C32" i="2"/>
  <c r="E32" i="2"/>
  <c r="C33" i="2"/>
  <c r="E33" i="2"/>
  <c r="C34" i="2"/>
  <c r="E34" i="2"/>
  <c r="C35" i="2"/>
  <c r="E35" i="2"/>
  <c r="B40" i="2"/>
  <c r="B41" i="2"/>
  <c r="B18" i="2"/>
  <c r="B19" i="2" s="1"/>
  <c r="C6" i="2"/>
  <c r="E6" i="2"/>
  <c r="C10" i="2"/>
  <c r="E10" i="2" s="1"/>
  <c r="C11" i="2"/>
  <c r="E11" i="2"/>
  <c r="C12" i="2"/>
  <c r="E12" i="2" s="1"/>
  <c r="C13" i="2"/>
  <c r="E13" i="2"/>
  <c r="C5" i="2"/>
  <c r="E5" i="2" s="1"/>
  <c r="E18" i="2" s="1"/>
  <c r="C7" i="2"/>
  <c r="E7" i="2"/>
  <c r="C8" i="2"/>
  <c r="E8" i="2" s="1"/>
  <c r="C9" i="2"/>
  <c r="E9" i="2"/>
  <c r="G7" i="1"/>
  <c r="G6" i="1"/>
  <c r="I6" i="1" s="1"/>
  <c r="I10" i="1" s="1"/>
  <c r="D6" i="1"/>
  <c r="C6" i="1"/>
  <c r="I7" i="1"/>
  <c r="H7" i="1"/>
  <c r="J7" i="1"/>
  <c r="G8" i="1"/>
  <c r="I8" i="1" s="1"/>
  <c r="H8" i="1"/>
  <c r="D7" i="1"/>
  <c r="C7" i="1"/>
  <c r="G10" i="1"/>
  <c r="P26" i="3" l="1"/>
  <c r="R26" i="3"/>
  <c r="S26" i="3" s="1"/>
  <c r="P24" i="3"/>
  <c r="R24" i="3"/>
  <c r="S24" i="3" s="1"/>
  <c r="S7" i="3"/>
  <c r="L28" i="3"/>
  <c r="O28" i="3"/>
  <c r="P28" i="3" s="1"/>
  <c r="K6" i="4"/>
  <c r="J18" i="4"/>
  <c r="D27" i="4"/>
  <c r="D28" i="4" s="1"/>
  <c r="M23" i="3"/>
  <c r="M9" i="3"/>
  <c r="M7" i="3"/>
  <c r="H6" i="1"/>
  <c r="R28" i="3" l="1"/>
  <c r="S28" i="3"/>
  <c r="B30" i="3"/>
  <c r="M28" i="3"/>
  <c r="B36" i="3" s="1"/>
  <c r="K18" i="4"/>
  <c r="H28" i="4"/>
  <c r="H29" i="4" s="1"/>
  <c r="K14" i="4"/>
  <c r="K8" i="4"/>
  <c r="K16" i="4"/>
  <c r="K11" i="4"/>
  <c r="K7" i="4"/>
  <c r="K10" i="4"/>
  <c r="K12" i="4"/>
  <c r="K9" i="4"/>
  <c r="K15" i="4"/>
  <c r="K13" i="4"/>
  <c r="H10" i="1"/>
  <c r="J10" i="1" s="1"/>
  <c r="J6" i="1"/>
</calcChain>
</file>

<file path=xl/sharedStrings.xml><?xml version="1.0" encoding="utf-8"?>
<sst xmlns="http://schemas.openxmlformats.org/spreadsheetml/2006/main" count="216" uniqueCount="109">
  <si>
    <t>20:1</t>
  </si>
  <si>
    <t>100:1</t>
  </si>
  <si>
    <t>gallons</t>
  </si>
  <si>
    <t>% DM</t>
  </si>
  <si>
    <t>C</t>
  </si>
  <si>
    <t>N</t>
  </si>
  <si>
    <t xml:space="preserve"> </t>
  </si>
  <si>
    <t>manure</t>
  </si>
  <si>
    <t>GTW</t>
  </si>
  <si>
    <t>12:1</t>
  </si>
  <si>
    <t>glycerol</t>
  </si>
  <si>
    <t>C:N</t>
  </si>
  <si>
    <t>% C</t>
  </si>
  <si>
    <t>% N</t>
  </si>
  <si>
    <t>DM</t>
  </si>
  <si>
    <t>diet</t>
  </si>
  <si>
    <t>Totals</t>
  </si>
  <si>
    <t>feedstock</t>
  </si>
  <si>
    <t>literature</t>
  </si>
  <si>
    <t>C/N</t>
  </si>
  <si>
    <t>value</t>
  </si>
  <si>
    <t>VTC manure</t>
  </si>
  <si>
    <t>Osha manure</t>
  </si>
  <si>
    <t>heifer manure</t>
  </si>
  <si>
    <t>silage/haylage</t>
  </si>
  <si>
    <t>grass</t>
  </si>
  <si>
    <t>effluent</t>
  </si>
  <si>
    <t>brewery</t>
  </si>
  <si>
    <t>FeCl3</t>
  </si>
  <si>
    <t>Na2CO3</t>
  </si>
  <si>
    <t>CaCO3</t>
  </si>
  <si>
    <t>metric tonnes</t>
  </si>
  <si>
    <t>m3 biogas</t>
  </si>
  <si>
    <t>Total</t>
  </si>
  <si>
    <t>% on-farm</t>
  </si>
  <si>
    <t>Actual biogas (m3/day)</t>
  </si>
  <si>
    <t>Actual biogas (m3/day) from power</t>
  </si>
  <si>
    <t>m3 biogas / fresh metric tonne</t>
  </si>
  <si>
    <t>Examples of calculation of biogas volume from reference values</t>
  </si>
  <si>
    <t>Example of calculation of C:N from reference values</t>
  </si>
  <si>
    <t>10:1</t>
  </si>
  <si>
    <t>17.5:1</t>
  </si>
  <si>
    <t xml:space="preserve"> 18.5:1</t>
  </si>
  <si>
    <t>3.25:1</t>
  </si>
  <si>
    <t>%C</t>
  </si>
  <si>
    <t>%N</t>
  </si>
  <si>
    <t>avg C:N</t>
  </si>
  <si>
    <t>kWh</t>
  </si>
  <si>
    <t>grease trap</t>
  </si>
  <si>
    <t>food waste</t>
  </si>
  <si>
    <t>18:1</t>
  </si>
  <si>
    <t>total solids (%)</t>
  </si>
  <si>
    <t>total solids (gallons)</t>
  </si>
  <si>
    <t>C:N (ratio)</t>
  </si>
  <si>
    <t>C (metric tonnes)</t>
  </si>
  <si>
    <t>N (metric tonnes)</t>
  </si>
  <si>
    <t>off-farm</t>
  </si>
  <si>
    <t>on-farm</t>
  </si>
  <si>
    <t>biogas pot'l (m3/fresh tonne)</t>
  </si>
  <si>
    <t>% full power</t>
  </si>
  <si>
    <t>total</t>
  </si>
  <si>
    <t>Big B Feedstock Planning August 2014</t>
  </si>
  <si>
    <t>m tons</t>
  </si>
  <si>
    <t>%</t>
  </si>
  <si>
    <t>(/week)</t>
  </si>
  <si>
    <t>m3 biogas/m-t</t>
  </si>
  <si>
    <t>/day</t>
  </si>
  <si>
    <t>volume</t>
  </si>
  <si>
    <t>biogas</t>
  </si>
  <si>
    <t>dairy manure</t>
  </si>
  <si>
    <t>goat manure</t>
  </si>
  <si>
    <t>corn silage</t>
  </si>
  <si>
    <t>dilute grease</t>
  </si>
  <si>
    <t>fryer oil</t>
  </si>
  <si>
    <t>Alchemist</t>
  </si>
  <si>
    <t>Long Trail</t>
  </si>
  <si>
    <t>VT Creamery</t>
  </si>
  <si>
    <t>PPCFR</t>
  </si>
  <si>
    <t>weekly sum</t>
  </si>
  <si>
    <t>daily sum</t>
  </si>
  <si>
    <t>% off-farm</t>
  </si>
  <si>
    <t>daily volume goal</t>
  </si>
  <si>
    <t>daily volume gap</t>
  </si>
  <si>
    <t>gap as % total</t>
  </si>
  <si>
    <t>daily biogas goal</t>
  </si>
  <si>
    <t>daily biogas gap</t>
  </si>
  <si>
    <t>gap as % of total</t>
  </si>
  <si>
    <t>hemp</t>
  </si>
  <si>
    <t>15:1</t>
  </si>
  <si>
    <t>produce residue</t>
  </si>
  <si>
    <t>waste oil</t>
  </si>
  <si>
    <t>brewery yeast</t>
  </si>
  <si>
    <t>outdated milk</t>
  </si>
  <si>
    <t>whey</t>
  </si>
  <si>
    <t>27:1</t>
  </si>
  <si>
    <t>sunflower cake</t>
  </si>
  <si>
    <t>8:1</t>
  </si>
  <si>
    <t>rapeseed cake</t>
  </si>
  <si>
    <t>apple pomace</t>
  </si>
  <si>
    <t>350:1</t>
  </si>
  <si>
    <t>% TS</t>
  </si>
  <si>
    <t>cardboard shreds</t>
  </si>
  <si>
    <t>inputs</t>
  </si>
  <si>
    <t>calculations</t>
  </si>
  <si>
    <t>CH4 (%)</t>
  </si>
  <si>
    <t>glycerol (50:50 w/H2O)</t>
  </si>
  <si>
    <t>biogas (m3)</t>
  </si>
  <si>
    <t>CH4 (m3)</t>
  </si>
  <si>
    <t>Simple AD feedstock modeling spreadsheet for VTCAD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</si>
</sst>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3366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432FF"/>
      </left>
      <right/>
      <top style="medium">
        <color rgb="FF0432FF"/>
      </top>
      <bottom/>
      <diagonal/>
    </border>
    <border>
      <left/>
      <right/>
      <top style="medium">
        <color rgb="FF0432FF"/>
      </top>
      <bottom/>
      <diagonal/>
    </border>
    <border>
      <left/>
      <right style="medium">
        <color rgb="FF0432FF"/>
      </right>
      <top style="medium">
        <color rgb="FF0432FF"/>
      </top>
      <bottom/>
      <diagonal/>
    </border>
    <border>
      <left style="medium">
        <color rgb="FF0432FF"/>
      </left>
      <right/>
      <top/>
      <bottom/>
      <diagonal/>
    </border>
    <border>
      <left/>
      <right style="medium">
        <color rgb="FF0432FF"/>
      </right>
      <top/>
      <bottom/>
      <diagonal/>
    </border>
    <border>
      <left style="medium">
        <color rgb="FF0432FF"/>
      </left>
      <right/>
      <top/>
      <bottom style="medium">
        <color rgb="FF0432FF"/>
      </bottom>
      <diagonal/>
    </border>
    <border>
      <left/>
      <right/>
      <top/>
      <bottom style="medium">
        <color rgb="FF0432FF"/>
      </bottom>
      <diagonal/>
    </border>
    <border>
      <left/>
      <right style="medium">
        <color rgb="FF0432FF"/>
      </right>
      <top/>
      <bottom style="medium">
        <color rgb="FF0432FF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2" fillId="0" borderId="0" xfId="11" applyNumberFormat="1" applyFont="1" applyAlignment="1">
      <alignment horizontal="right"/>
    </xf>
    <xf numFmtId="166" fontId="0" fillId="0" borderId="0" xfId="11" applyNumberFormat="1" applyFont="1" applyAlignment="1">
      <alignment horizontal="right"/>
    </xf>
    <xf numFmtId="0" fontId="6" fillId="0" borderId="0" xfId="0" applyFont="1"/>
    <xf numFmtId="15" fontId="2" fillId="2" borderId="1" xfId="0" applyNumberFormat="1" applyFont="1" applyFill="1" applyBorder="1"/>
    <xf numFmtId="166" fontId="2" fillId="2" borderId="2" xfId="1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4" xfId="0" applyFont="1" applyBorder="1" applyAlignment="1">
      <alignment wrapText="1"/>
    </xf>
    <xf numFmtId="166" fontId="2" fillId="0" borderId="0" xfId="11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4" xfId="0" applyBorder="1"/>
    <xf numFmtId="166" fontId="0" fillId="0" borderId="0" xfId="11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4" xfId="0" applyFont="1" applyBorder="1"/>
    <xf numFmtId="166" fontId="0" fillId="0" borderId="5" xfId="11" applyNumberFormat="1" applyFont="1" applyBorder="1" applyAlignment="1">
      <alignment horizontal="right"/>
    </xf>
    <xf numFmtId="0" fontId="5" fillId="0" borderId="4" xfId="0" applyFont="1" applyBorder="1"/>
    <xf numFmtId="0" fontId="6" fillId="0" borderId="6" xfId="0" applyFont="1" applyBorder="1"/>
    <xf numFmtId="166" fontId="0" fillId="0" borderId="7" xfId="11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166" fontId="0" fillId="2" borderId="2" xfId="11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165" fontId="0" fillId="0" borderId="5" xfId="11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5" xfId="0" applyFont="1" applyBorder="1" applyAlignment="1">
      <alignment horizontal="right"/>
    </xf>
    <xf numFmtId="166" fontId="6" fillId="0" borderId="8" xfId="11" applyNumberFormat="1" applyFont="1" applyBorder="1" applyAlignment="1">
      <alignment horizontal="right"/>
    </xf>
    <xf numFmtId="166" fontId="6" fillId="0" borderId="0" xfId="11" applyNumberFormat="1" applyFont="1" applyAlignment="1">
      <alignment horizontal="right"/>
    </xf>
    <xf numFmtId="0" fontId="0" fillId="2" borderId="3" xfId="0" applyFill="1" applyBorder="1" applyAlignment="1">
      <alignment horizontal="right"/>
    </xf>
    <xf numFmtId="166" fontId="5" fillId="0" borderId="5" xfId="11" applyNumberFormat="1" applyFont="1" applyBorder="1" applyAlignment="1">
      <alignment horizontal="right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/>
    <xf numFmtId="2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11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Alignment="1">
      <alignment horizontal="right"/>
    </xf>
    <xf numFmtId="166" fontId="2" fillId="0" borderId="0" xfId="11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0" fillId="0" borderId="0" xfId="1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1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164" fontId="12" fillId="0" borderId="4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2" fillId="0" borderId="12" xfId="0" applyFont="1" applyBorder="1"/>
    <xf numFmtId="166" fontId="12" fillId="4" borderId="0" xfId="11" applyNumberFormat="1" applyFont="1" applyFill="1" applyBorder="1" applyAlignment="1">
      <alignment horizontal="right"/>
    </xf>
    <xf numFmtId="164" fontId="12" fillId="0" borderId="13" xfId="0" applyNumberFormat="1" applyFont="1" applyBorder="1"/>
    <xf numFmtId="164" fontId="12" fillId="0" borderId="0" xfId="0" applyNumberFormat="1" applyFont="1"/>
    <xf numFmtId="0" fontId="13" fillId="0" borderId="12" xfId="0" applyFont="1" applyBorder="1"/>
    <xf numFmtId="1" fontId="13" fillId="0" borderId="0" xfId="0" applyNumberFormat="1" applyFont="1" applyAlignment="1">
      <alignment horizontal="center"/>
    </xf>
    <xf numFmtId="1" fontId="14" fillId="3" borderId="0" xfId="0" applyNumberFormat="1" applyFont="1" applyFill="1" applyAlignment="1">
      <alignment horizontal="center"/>
    </xf>
    <xf numFmtId="1" fontId="14" fillId="3" borderId="13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2" xfId="0" applyFont="1" applyBorder="1"/>
    <xf numFmtId="166" fontId="13" fillId="4" borderId="0" xfId="11" applyNumberFormat="1" applyFont="1" applyFill="1" applyBorder="1" applyAlignment="1">
      <alignment horizontal="right"/>
    </xf>
    <xf numFmtId="164" fontId="13" fillId="0" borderId="13" xfId="0" applyNumberFormat="1" applyFont="1" applyBorder="1"/>
    <xf numFmtId="0" fontId="16" fillId="0" borderId="12" xfId="0" applyFont="1" applyBorder="1"/>
    <xf numFmtId="1" fontId="16" fillId="0" borderId="0" xfId="0" applyNumberFormat="1" applyFont="1" applyAlignment="1">
      <alignment horizontal="center"/>
    </xf>
    <xf numFmtId="1" fontId="17" fillId="3" borderId="0" xfId="0" applyNumberFormat="1" applyFont="1" applyFill="1" applyAlignment="1">
      <alignment horizontal="center"/>
    </xf>
    <xf numFmtId="1" fontId="17" fillId="3" borderId="13" xfId="0" applyNumberFormat="1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1" fontId="11" fillId="0" borderId="5" xfId="0" applyNumberFormat="1" applyFont="1" applyBorder="1" applyAlignment="1">
      <alignment horizontal="center"/>
    </xf>
    <xf numFmtId="0" fontId="11" fillId="0" borderId="12" xfId="0" applyFont="1" applyBorder="1"/>
    <xf numFmtId="166" fontId="18" fillId="4" borderId="0" xfId="11" applyNumberFormat="1" applyFont="1" applyFill="1" applyBorder="1" applyAlignment="1">
      <alignment horizontal="right"/>
    </xf>
    <xf numFmtId="164" fontId="18" fillId="0" borderId="13" xfId="0" applyNumberFormat="1" applyFont="1" applyBorder="1"/>
    <xf numFmtId="164" fontId="18" fillId="0" borderId="0" xfId="0" applyNumberFormat="1" applyFont="1"/>
    <xf numFmtId="1" fontId="19" fillId="0" borderId="0" xfId="0" applyNumberFormat="1" applyFont="1" applyAlignment="1">
      <alignment horizontal="center"/>
    </xf>
    <xf numFmtId="1" fontId="18" fillId="3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1" fontId="18" fillId="3" borderId="13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2" fillId="0" borderId="13" xfId="0" applyNumberFormat="1" applyFont="1" applyBorder="1"/>
    <xf numFmtId="164" fontId="2" fillId="0" borderId="0" xfId="0" applyNumberFormat="1" applyFont="1"/>
    <xf numFmtId="0" fontId="2" fillId="0" borderId="14" xfId="0" applyFont="1" applyBorder="1"/>
    <xf numFmtId="1" fontId="2" fillId="0" borderId="15" xfId="0" applyNumberFormat="1" applyFont="1" applyBorder="1" applyAlignment="1">
      <alignment horizontal="center"/>
    </xf>
    <xf numFmtId="1" fontId="20" fillId="3" borderId="15" xfId="0" applyNumberFormat="1" applyFont="1" applyFill="1" applyBorder="1" applyAlignment="1">
      <alignment horizontal="center"/>
    </xf>
    <xf numFmtId="1" fontId="20" fillId="3" borderId="1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166" fontId="2" fillId="0" borderId="15" xfId="11" applyNumberFormat="1" applyFont="1" applyBorder="1" applyAlignment="1">
      <alignment horizontal="right"/>
    </xf>
    <xf numFmtId="164" fontId="2" fillId="0" borderId="16" xfId="0" applyNumberFormat="1" applyFont="1" applyBorder="1"/>
    <xf numFmtId="1" fontId="2" fillId="0" borderId="0" xfId="0" applyNumberFormat="1" applyFont="1" applyAlignment="1">
      <alignment horizontal="right"/>
    </xf>
    <xf numFmtId="0" fontId="13" fillId="0" borderId="9" xfId="0" applyFont="1" applyBorder="1"/>
    <xf numFmtId="164" fontId="13" fillId="0" borderId="11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1" fillId="0" borderId="14" xfId="0" applyFont="1" applyBorder="1"/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12" fillId="0" borderId="0" xfId="0" applyFont="1"/>
    <xf numFmtId="164" fontId="12" fillId="0" borderId="0" xfId="0" applyNumberFormat="1" applyFont="1" applyAlignment="1">
      <alignment horizontal="right"/>
    </xf>
    <xf numFmtId="0" fontId="12" fillId="0" borderId="9" xfId="0" applyFont="1" applyBorder="1"/>
    <xf numFmtId="164" fontId="12" fillId="0" borderId="11" xfId="0" applyNumberFormat="1" applyFont="1" applyBorder="1" applyAlignment="1">
      <alignment horizontal="right"/>
    </xf>
    <xf numFmtId="0" fontId="20" fillId="0" borderId="9" xfId="0" applyFont="1" applyBorder="1"/>
    <xf numFmtId="1" fontId="20" fillId="0" borderId="11" xfId="0" applyNumberFormat="1" applyFont="1" applyBorder="1" applyAlignment="1">
      <alignment horizontal="right"/>
    </xf>
    <xf numFmtId="1" fontId="20" fillId="0" borderId="0" xfId="0" applyNumberFormat="1" applyFont="1" applyAlignment="1">
      <alignment horizontal="right"/>
    </xf>
    <xf numFmtId="0" fontId="15" fillId="0" borderId="14" xfId="0" applyFont="1" applyBorder="1"/>
    <xf numFmtId="164" fontId="15" fillId="0" borderId="16" xfId="0" applyNumberFormat="1" applyFont="1" applyBorder="1" applyAlignment="1">
      <alignment horizontal="right"/>
    </xf>
    <xf numFmtId="0" fontId="20" fillId="0" borderId="12" xfId="0" applyFont="1" applyBorder="1"/>
    <xf numFmtId="1" fontId="20" fillId="0" borderId="13" xfId="0" applyNumberFormat="1" applyFont="1" applyBorder="1" applyAlignment="1">
      <alignment horizontal="right"/>
    </xf>
    <xf numFmtId="0" fontId="15" fillId="0" borderId="0" xfId="0" applyFont="1"/>
    <xf numFmtId="164" fontId="15" fillId="0" borderId="0" xfId="0" applyNumberFormat="1" applyFont="1" applyAlignment="1">
      <alignment horizontal="right"/>
    </xf>
    <xf numFmtId="0" fontId="20" fillId="0" borderId="14" xfId="0" applyFont="1" applyBorder="1"/>
    <xf numFmtId="164" fontId="21" fillId="0" borderId="16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1" fontId="0" fillId="0" borderId="13" xfId="0" applyNumberFormat="1" applyBorder="1"/>
    <xf numFmtId="0" fontId="0" fillId="0" borderId="9" xfId="0" applyBorder="1" applyAlignment="1">
      <alignment horizontal="left"/>
    </xf>
    <xf numFmtId="0" fontId="0" fillId="0" borderId="14" xfId="0" applyBorder="1"/>
    <xf numFmtId="1" fontId="2" fillId="0" borderId="16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2" fillId="0" borderId="20" xfId="0" applyFont="1" applyBorder="1"/>
    <xf numFmtId="2" fontId="0" fillId="0" borderId="21" xfId="0" applyNumberForma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0" fillId="0" borderId="23" xfId="0" applyBorder="1"/>
    <xf numFmtId="0" fontId="2" fillId="0" borderId="23" xfId="0" applyFont="1" applyBorder="1"/>
    <xf numFmtId="0" fontId="0" fillId="0" borderId="26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2" fillId="0" borderId="25" xfId="0" applyNumberFormat="1" applyFont="1" applyBorder="1" applyAlignment="1">
      <alignment horizontal="left"/>
    </xf>
    <xf numFmtId="166" fontId="2" fillId="0" borderId="0" xfId="11" applyNumberFormat="1" applyFont="1" applyFill="1" applyBorder="1" applyAlignment="1">
      <alignment horizontal="center" wrapText="1"/>
    </xf>
    <xf numFmtId="1" fontId="20" fillId="0" borderId="17" xfId="11" applyNumberFormat="1" applyFont="1" applyFill="1" applyBorder="1" applyAlignment="1">
      <alignment horizontal="center"/>
    </xf>
    <xf numFmtId="1" fontId="20" fillId="0" borderId="18" xfId="11" applyNumberFormat="1" applyFont="1" applyFill="1" applyBorder="1" applyAlignment="1">
      <alignment horizontal="center"/>
    </xf>
    <xf numFmtId="1" fontId="20" fillId="0" borderId="19" xfId="11" applyNumberFormat="1" applyFont="1" applyFill="1" applyBorder="1" applyAlignment="1">
      <alignment horizontal="center"/>
    </xf>
    <xf numFmtId="166" fontId="20" fillId="0" borderId="0" xfId="11" applyNumberFormat="1" applyFont="1" applyBorder="1" applyAlignment="1">
      <alignment horizontal="center"/>
    </xf>
    <xf numFmtId="1" fontId="20" fillId="0" borderId="17" xfId="11" applyNumberFormat="1" applyFont="1" applyBorder="1" applyAlignment="1">
      <alignment horizontal="center"/>
    </xf>
    <xf numFmtId="1" fontId="20" fillId="0" borderId="18" xfId="11" applyNumberFormat="1" applyFont="1" applyBorder="1" applyAlignment="1">
      <alignment horizontal="center"/>
    </xf>
    <xf numFmtId="1" fontId="20" fillId="0" borderId="19" xfId="11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1" fontId="2" fillId="0" borderId="21" xfId="11" applyNumberFormat="1" applyFont="1" applyBorder="1" applyAlignment="1">
      <alignment horizontal="center"/>
    </xf>
    <xf numFmtId="164" fontId="0" fillId="0" borderId="21" xfId="11" applyNumberFormat="1" applyFont="1" applyBorder="1" applyAlignment="1">
      <alignment horizontal="center"/>
    </xf>
    <xf numFmtId="2" fontId="0" fillId="0" borderId="21" xfId="11" applyNumberFormat="1" applyFont="1" applyBorder="1" applyAlignment="1">
      <alignment horizontal="center"/>
    </xf>
    <xf numFmtId="1" fontId="0" fillId="0" borderId="21" xfId="11" applyNumberFormat="1" applyFont="1" applyBorder="1" applyAlignment="1">
      <alignment horizontal="center"/>
    </xf>
    <xf numFmtId="2" fontId="2" fillId="0" borderId="21" xfId="11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4" borderId="0" xfId="0" applyFont="1" applyFill="1" applyAlignment="1">
      <alignment horizontal="center"/>
    </xf>
    <xf numFmtId="2" fontId="9" fillId="5" borderId="0" xfId="0" applyNumberFormat="1" applyFont="1" applyFill="1" applyAlignment="1">
      <alignment horizontal="center"/>
    </xf>
    <xf numFmtId="0" fontId="9" fillId="4" borderId="4" xfId="0" applyFont="1" applyFill="1" applyBorder="1" applyAlignment="1">
      <alignment wrapText="1"/>
    </xf>
    <xf numFmtId="0" fontId="9" fillId="6" borderId="4" xfId="0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32">
    <cellStyle name="Comma" xfId="1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Full Power</a:t>
            </a:r>
            <a:r>
              <a:rPr lang="en-US" sz="1600" baseline="0"/>
              <a:t> Plan for 1 Nov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'[1]Oct 2014 Plan'!$H$4</c:f>
              <c:strCache>
                <c:ptCount val="1"/>
                <c:pt idx="0">
                  <c:v>gallons</c:v>
                </c:pt>
              </c:strCache>
            </c:strRef>
          </c:tx>
          <c:invertIfNegative val="0"/>
          <c:cat>
            <c:strRef>
              <c:f>'[1]Oct 2014 Plan'!$G$6:$G$18</c:f>
              <c:strCache>
                <c:ptCount val="13"/>
                <c:pt idx="0">
                  <c:v>dairy manure</c:v>
                </c:pt>
                <c:pt idx="1">
                  <c:v>goat manure</c:v>
                </c:pt>
                <c:pt idx="2">
                  <c:v>corn silage</c:v>
                </c:pt>
                <c:pt idx="3">
                  <c:v>effluent</c:v>
                </c:pt>
                <c:pt idx="4">
                  <c:v>dilute grease</c:v>
                </c:pt>
                <c:pt idx="5">
                  <c:v>fryer oil</c:v>
                </c:pt>
                <c:pt idx="6">
                  <c:v>Alchemist</c:v>
                </c:pt>
                <c:pt idx="7">
                  <c:v>Long Trail</c:v>
                </c:pt>
                <c:pt idx="8">
                  <c:v>VT Creamery</c:v>
                </c:pt>
                <c:pt idx="9">
                  <c:v>glycerol</c:v>
                </c:pt>
                <c:pt idx="10">
                  <c:v>PPCFR</c:v>
                </c:pt>
                <c:pt idx="11">
                  <c:v> </c:v>
                </c:pt>
                <c:pt idx="12">
                  <c:v>daily sum</c:v>
                </c:pt>
              </c:strCache>
            </c:strRef>
          </c:cat>
          <c:val>
            <c:numRef>
              <c:f>'[1]Oct 2014 Plan'!$H$6:$H$18</c:f>
              <c:numCache>
                <c:formatCode>General</c:formatCode>
                <c:ptCount val="13"/>
                <c:pt idx="0">
                  <c:v>7040</c:v>
                </c:pt>
                <c:pt idx="1">
                  <c:v>0</c:v>
                </c:pt>
                <c:pt idx="2">
                  <c:v>0</c:v>
                </c:pt>
                <c:pt idx="3">
                  <c:v>6120</c:v>
                </c:pt>
                <c:pt idx="4">
                  <c:v>0</c:v>
                </c:pt>
                <c:pt idx="5">
                  <c:v>0</c:v>
                </c:pt>
                <c:pt idx="6">
                  <c:v>428.57142857142856</c:v>
                </c:pt>
                <c:pt idx="7">
                  <c:v>1142.8571428571429</c:v>
                </c:pt>
                <c:pt idx="8">
                  <c:v>0</c:v>
                </c:pt>
                <c:pt idx="9">
                  <c:v>1428.5714285714287</c:v>
                </c:pt>
                <c:pt idx="10">
                  <c:v>0</c:v>
                </c:pt>
                <c:pt idx="12">
                  <c:v>16160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4-984F-8EEA-1729BF818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322392"/>
        <c:axId val="2132325400"/>
      </c:barChart>
      <c:scatterChart>
        <c:scatterStyle val="lineMarker"/>
        <c:varyColors val="0"/>
        <c:ser>
          <c:idx val="1"/>
          <c:order val="1"/>
          <c:tx>
            <c:strRef>
              <c:f>'[1]Oct 2014 Plan'!$J$4</c:f>
              <c:strCache>
                <c:ptCount val="1"/>
                <c:pt idx="0">
                  <c:v>m3 biogas</c:v>
                </c:pt>
              </c:strCache>
            </c:strRef>
          </c:tx>
          <c:spPr>
            <a:ln w="47625">
              <a:noFill/>
            </a:ln>
          </c:spPr>
          <c:xVal>
            <c:strRef>
              <c:f>'[1]Oct 2014 Plan'!$G$6:$G$18</c:f>
              <c:strCache>
                <c:ptCount val="13"/>
                <c:pt idx="0">
                  <c:v>dairy manure</c:v>
                </c:pt>
                <c:pt idx="1">
                  <c:v>goat manure</c:v>
                </c:pt>
                <c:pt idx="2">
                  <c:v>corn silage</c:v>
                </c:pt>
                <c:pt idx="3">
                  <c:v>effluent</c:v>
                </c:pt>
                <c:pt idx="4">
                  <c:v>dilute grease</c:v>
                </c:pt>
                <c:pt idx="5">
                  <c:v>fryer oil</c:v>
                </c:pt>
                <c:pt idx="6">
                  <c:v>Alchemist</c:v>
                </c:pt>
                <c:pt idx="7">
                  <c:v>Long Trail</c:v>
                </c:pt>
                <c:pt idx="8">
                  <c:v>VT Creamery</c:v>
                </c:pt>
                <c:pt idx="9">
                  <c:v>glycerol</c:v>
                </c:pt>
                <c:pt idx="10">
                  <c:v>PPCFR</c:v>
                </c:pt>
                <c:pt idx="11">
                  <c:v> </c:v>
                </c:pt>
                <c:pt idx="12">
                  <c:v>daily sum</c:v>
                </c:pt>
              </c:strCache>
            </c:strRef>
          </c:xVal>
          <c:yVal>
            <c:numRef>
              <c:f>'[1]Oct 2014 Plan'!$J$6:$J$18</c:f>
              <c:numCache>
                <c:formatCode>General</c:formatCode>
                <c:ptCount val="13"/>
                <c:pt idx="0">
                  <c:v>479.81825066262775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87.629144804457184</c:v>
                </c:pt>
                <c:pt idx="7">
                  <c:v>649.10477632931247</c:v>
                </c:pt>
                <c:pt idx="8">
                  <c:v>0</c:v>
                </c:pt>
                <c:pt idx="9">
                  <c:v>2809.0009195650996</c:v>
                </c:pt>
                <c:pt idx="10">
                  <c:v>0</c:v>
                </c:pt>
                <c:pt idx="12">
                  <c:v>4025.5530913614971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24-984F-8EEA-1729BF818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337112"/>
        <c:axId val="2132331192"/>
      </c:scatterChart>
      <c:catAx>
        <c:axId val="2132322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2132325400"/>
        <c:crosses val="autoZero"/>
        <c:auto val="1"/>
        <c:lblAlgn val="ctr"/>
        <c:lblOffset val="100"/>
        <c:noMultiLvlLbl val="0"/>
      </c:catAx>
      <c:valAx>
        <c:axId val="2132325400"/>
        <c:scaling>
          <c:orientation val="minMax"/>
          <c:max val="16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volume</a:t>
                </a:r>
                <a:r>
                  <a:rPr lang="en-US" sz="1200" baseline="0"/>
                  <a:t> </a:t>
                </a:r>
                <a:r>
                  <a:rPr lang="en-US" sz="1200"/>
                  <a:t>(gallons / day)</a:t>
                </a:r>
              </a:p>
            </c:rich>
          </c:tx>
          <c:layout>
            <c:manualLayout>
              <c:xMode val="edge"/>
              <c:yMode val="edge"/>
              <c:x val="2.7956989247311801E-2"/>
              <c:y val="0.342343741515069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2132322392"/>
        <c:crosses val="autoZero"/>
        <c:crossBetween val="between"/>
      </c:valAx>
      <c:valAx>
        <c:axId val="21323311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biogas</a:t>
                </a:r>
                <a:r>
                  <a:rPr lang="en-US" sz="1200" baseline="0"/>
                  <a:t> (m3 / day)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4107526881720405"/>
              <c:y val="0.36786071137659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2132337112"/>
        <c:crosses val="max"/>
        <c:crossBetween val="midCat"/>
        <c:minorUnit val="100"/>
      </c:valAx>
      <c:valAx>
        <c:axId val="2132337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323311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1"/>
            <c:bubble3D val="0"/>
            <c:explosion val="10"/>
            <c:spPr>
              <a:solidFill>
                <a:schemeClr val="tx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14C-B54E-82E4-B40E2FF08578}"/>
              </c:ext>
            </c:extLst>
          </c:dPt>
          <c:cat>
            <c:strRef>
              <c:f>'[1]Oct 2014 Plan'!$G$20:$G$21</c:f>
              <c:strCache>
                <c:ptCount val="2"/>
                <c:pt idx="0">
                  <c:v>% on-farm</c:v>
                </c:pt>
                <c:pt idx="1">
                  <c:v>% off-farm</c:v>
                </c:pt>
              </c:strCache>
            </c:strRef>
          </c:cat>
          <c:val>
            <c:numRef>
              <c:f>'[1]Oct 2014 Plan'!$H$20:$H$21</c:f>
              <c:numCache>
                <c:formatCode>General</c:formatCode>
                <c:ptCount val="2"/>
                <c:pt idx="0">
                  <c:v>81.43564356435644</c:v>
                </c:pt>
                <c:pt idx="1">
                  <c:v>18.564356435643564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4C-B54E-82E4-B40E2FF08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90D-F34A-943D-1F107D56D27A}"/>
              </c:ext>
            </c:extLst>
          </c:dPt>
          <c:dPt>
            <c:idx val="1"/>
            <c:bubble3D val="0"/>
            <c:spPr>
              <a:noFill/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90D-F34A-943D-1F107D56D27A}"/>
              </c:ext>
            </c:extLst>
          </c:dPt>
          <c:cat>
            <c:strRef>
              <c:f>'[1]Oct 2014 Plan'!$G$27:$G$28</c:f>
              <c:strCache>
                <c:ptCount val="2"/>
                <c:pt idx="0">
                  <c:v>daily biogas goal</c:v>
                </c:pt>
                <c:pt idx="1">
                  <c:v>daily biogas gap</c:v>
                </c:pt>
              </c:strCache>
            </c:strRef>
          </c:cat>
          <c:val>
            <c:numRef>
              <c:f>'[1]Oct 2014 Plan'!$H$27:$H$28</c:f>
              <c:numCache>
                <c:formatCode>General</c:formatCode>
                <c:ptCount val="2"/>
                <c:pt idx="0">
                  <c:v>4078</c:v>
                </c:pt>
                <c:pt idx="1">
                  <c:v>52.446908638502919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D-F34A-943D-1F107D56D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</xdr:colOff>
      <xdr:row>3</xdr:row>
      <xdr:rowOff>10160</xdr:rowOff>
    </xdr:from>
    <xdr:to>
      <xdr:col>18</xdr:col>
      <xdr:colOff>528320</xdr:colOff>
      <xdr:row>24</xdr:row>
      <xdr:rowOff>10160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ADFB69-EA8D-BF4A-AF6D-CCF3CF5E8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165100</xdr:colOff>
      <xdr:row>6</xdr:row>
      <xdr:rowOff>82550</xdr:rowOff>
    </xdr:from>
    <xdr:to>
      <xdr:col>14</xdr:col>
      <xdr:colOff>546100</xdr:colOff>
      <xdr:row>14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DF930E-F517-774C-93D2-5797292DD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45720</xdr:colOff>
      <xdr:row>5</xdr:row>
      <xdr:rowOff>20320</xdr:rowOff>
    </xdr:from>
    <xdr:ext cx="2723823" cy="27699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8624207-C187-7D49-ACD2-7657D8E01F55}"/>
            </a:ext>
          </a:extLst>
        </xdr:cNvPr>
        <xdr:cNvSpPr txBox="1"/>
      </xdr:nvSpPr>
      <xdr:spPr>
        <a:xfrm>
          <a:off x="9545320" y="1087120"/>
          <a:ext cx="2723823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0000FF"/>
              </a:solidFill>
            </a:rPr>
            <a:t>&lt;-- 16,000 goal: 60%</a:t>
          </a:r>
          <a:r>
            <a:rPr lang="en-US" sz="1200" b="1" baseline="0">
              <a:solidFill>
                <a:srgbClr val="0000FF"/>
              </a:solidFill>
            </a:rPr>
            <a:t> below volume goal</a:t>
          </a:r>
          <a:endParaRPr lang="en-US" sz="1200" b="1">
            <a:solidFill>
              <a:srgbClr val="0000FF"/>
            </a:solidFill>
          </a:endParaRPr>
        </a:p>
      </xdr:txBody>
    </xdr:sp>
    <xdr:clientData/>
  </xdr:oneCellAnchor>
  <xdr:oneCellAnchor>
    <xdr:from>
      <xdr:col>16</xdr:col>
      <xdr:colOff>63500</xdr:colOff>
      <xdr:row>6</xdr:row>
      <xdr:rowOff>114300</xdr:rowOff>
    </xdr:from>
    <xdr:ext cx="1006556" cy="27699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38F4DEF-81BF-414E-8F15-CB602F45EB1E}"/>
            </a:ext>
          </a:extLst>
        </xdr:cNvPr>
        <xdr:cNvSpPr txBox="1"/>
      </xdr:nvSpPr>
      <xdr:spPr>
        <a:xfrm>
          <a:off x="12255500" y="1384300"/>
          <a:ext cx="1006556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0000FF"/>
              </a:solidFill>
            </a:rPr>
            <a:t>4078 goal --&gt;</a:t>
          </a:r>
        </a:p>
      </xdr:txBody>
    </xdr:sp>
    <xdr:clientData/>
  </xdr:oneCellAnchor>
  <xdr:oneCellAnchor>
    <xdr:from>
      <xdr:col>14</xdr:col>
      <xdr:colOff>853197</xdr:colOff>
      <xdr:row>10</xdr:row>
      <xdr:rowOff>0</xdr:rowOff>
    </xdr:from>
    <xdr:ext cx="569387" cy="46166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977CD8F-48AF-B346-AD0C-31B5FB910EB9}"/>
            </a:ext>
          </a:extLst>
        </xdr:cNvPr>
        <xdr:cNvSpPr txBox="1"/>
      </xdr:nvSpPr>
      <xdr:spPr>
        <a:xfrm>
          <a:off x="11178297" y="2082800"/>
          <a:ext cx="569387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200" b="1">
              <a:solidFill>
                <a:schemeClr val="bg1"/>
              </a:solidFill>
            </a:rPr>
            <a:t>+</a:t>
          </a:r>
        </a:p>
        <a:p>
          <a:pPr algn="r"/>
          <a:r>
            <a:rPr lang="en-US" sz="1200" b="1">
              <a:solidFill>
                <a:schemeClr val="bg1"/>
              </a:solidFill>
            </a:rPr>
            <a:t>&gt; goal</a:t>
          </a:r>
        </a:p>
      </xdr:txBody>
    </xdr:sp>
    <xdr:clientData/>
  </xdr:oneCellAnchor>
  <xdr:twoCellAnchor>
    <xdr:from>
      <xdr:col>14</xdr:col>
      <xdr:colOff>325120</xdr:colOff>
      <xdr:row>6</xdr:row>
      <xdr:rowOff>111760</xdr:rowOff>
    </xdr:from>
    <xdr:to>
      <xdr:col>15</xdr:col>
      <xdr:colOff>802640</xdr:colOff>
      <xdr:row>13</xdr:row>
      <xdr:rowOff>60960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E19F898-5D10-5E40-B47C-D8229C6C7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0.03441</cdr:x>
      <cdr:y>0.22069</cdr:y>
    </cdr:from>
    <cdr:to>
      <cdr:x>0.06099</cdr:x>
      <cdr:y>0.32196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03200" y="812800"/>
          <a:ext cx="156992" cy="372977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0.94624</cdr:x>
      <cdr:y>0.28966</cdr:y>
    </cdr:from>
    <cdr:to>
      <cdr:x>0.97282</cdr:x>
      <cdr:y>0.33884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5588000" y="1066800"/>
          <a:ext cx="156991" cy="181165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3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H_Air/Documents/Vermont%20Tech/VTCAD/Feedstock/Feedstock%20Plans/Big%20B%20Feedstock%20Planning%20Augus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Data + Graphics"/>
      <sheetName val="Oct 2014 Plan"/>
      <sheetName val="+ Osha"/>
      <sheetName val="+ VT Creamery"/>
      <sheetName val="+ Ayers"/>
      <sheetName val="Oct + all additions"/>
      <sheetName val="Hyrdrolysis HRT 12K Feed"/>
      <sheetName val="Hydrolysis HRT Low Sep Feed"/>
    </sheetNames>
    <sheetDataSet>
      <sheetData sheetId="0"/>
      <sheetData sheetId="1"/>
      <sheetData sheetId="2"/>
      <sheetData sheetId="3"/>
      <sheetData sheetId="4">
        <row r="4">
          <cell r="H4" t="str">
            <v>gallons</v>
          </cell>
          <cell r="J4" t="str">
            <v>m3 biogas</v>
          </cell>
        </row>
        <row r="6">
          <cell r="G6" t="str">
            <v>dairy manure</v>
          </cell>
          <cell r="H6">
            <v>7040</v>
          </cell>
          <cell r="J6">
            <v>479.81825066262775</v>
          </cell>
        </row>
        <row r="7">
          <cell r="G7" t="str">
            <v>goat manure</v>
          </cell>
          <cell r="H7">
            <v>0</v>
          </cell>
          <cell r="J7">
            <v>0</v>
          </cell>
        </row>
        <row r="8">
          <cell r="G8" t="str">
            <v>corn silage</v>
          </cell>
          <cell r="H8">
            <v>0</v>
          </cell>
          <cell r="J8">
            <v>0</v>
          </cell>
        </row>
        <row r="9">
          <cell r="G9" t="str">
            <v>effluent</v>
          </cell>
          <cell r="H9">
            <v>6120</v>
          </cell>
          <cell r="J9">
            <v>0</v>
          </cell>
        </row>
        <row r="10">
          <cell r="G10" t="str">
            <v>dilute grease</v>
          </cell>
          <cell r="H10">
            <v>0</v>
          </cell>
          <cell r="J10">
            <v>0</v>
          </cell>
        </row>
        <row r="11">
          <cell r="G11" t="str">
            <v>fryer oil</v>
          </cell>
          <cell r="H11">
            <v>0</v>
          </cell>
          <cell r="J11">
            <v>0</v>
          </cell>
        </row>
        <row r="12">
          <cell r="G12" t="str">
            <v>Alchemist</v>
          </cell>
          <cell r="H12">
            <v>428.57142857142856</v>
          </cell>
          <cell r="J12">
            <v>87.629144804457184</v>
          </cell>
        </row>
        <row r="13">
          <cell r="G13" t="str">
            <v>Long Trail</v>
          </cell>
          <cell r="H13">
            <v>1142.8571428571429</v>
          </cell>
          <cell r="J13">
            <v>649.10477632931247</v>
          </cell>
        </row>
        <row r="14">
          <cell r="G14" t="str">
            <v>VT Creamery</v>
          </cell>
          <cell r="H14">
            <v>0</v>
          </cell>
          <cell r="J14">
            <v>0</v>
          </cell>
        </row>
        <row r="15">
          <cell r="G15" t="str">
            <v>glycerol</v>
          </cell>
          <cell r="H15">
            <v>1428.5714285714287</v>
          </cell>
          <cell r="J15">
            <v>2809.0009195650996</v>
          </cell>
        </row>
        <row r="16">
          <cell r="G16" t="str">
            <v>PPCFR</v>
          </cell>
          <cell r="H16">
            <v>0</v>
          </cell>
          <cell r="J16">
            <v>0</v>
          </cell>
        </row>
        <row r="17">
          <cell r="G17" t="str">
            <v xml:space="preserve"> </v>
          </cell>
          <cell r="H17"/>
          <cell r="J17"/>
        </row>
        <row r="18">
          <cell r="G18" t="str">
            <v>daily sum</v>
          </cell>
          <cell r="H18">
            <v>16160</v>
          </cell>
          <cell r="J18">
            <v>4025.5530913614971</v>
          </cell>
        </row>
        <row r="20">
          <cell r="G20" t="str">
            <v>% on-farm</v>
          </cell>
          <cell r="H20">
            <v>81.43564356435644</v>
          </cell>
        </row>
        <row r="21">
          <cell r="G21" t="str">
            <v>% off-farm</v>
          </cell>
          <cell r="H21">
            <v>18.564356435643564</v>
          </cell>
        </row>
        <row r="27">
          <cell r="G27" t="str">
            <v>daily biogas goal</v>
          </cell>
          <cell r="H27">
            <v>4078</v>
          </cell>
        </row>
        <row r="28">
          <cell r="G28" t="str">
            <v>daily biogas gap</v>
          </cell>
          <cell r="H28">
            <v>52.446908638502919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workbookViewId="0">
      <selection activeCell="G22" sqref="G22"/>
    </sheetView>
  </sheetViews>
  <sheetFormatPr baseColWidth="10" defaultRowHeight="16" x14ac:dyDescent="0.2"/>
  <cols>
    <col min="2" max="2" width="10.83203125" style="10"/>
    <col min="3" max="4" width="7.5" style="5" customWidth="1"/>
    <col min="5" max="5" width="8.33203125" style="2" customWidth="1"/>
    <col min="6" max="7" width="10.83203125" style="2"/>
    <col min="8" max="9" width="9.33203125" style="2" customWidth="1"/>
    <col min="10" max="10" width="7.1640625" style="2" customWidth="1"/>
  </cols>
  <sheetData>
    <row r="1" spans="1:10" s="46" customFormat="1" ht="19" x14ac:dyDescent="0.25">
      <c r="A1" s="46" t="s">
        <v>39</v>
      </c>
      <c r="B1" s="47"/>
      <c r="C1" s="48"/>
      <c r="D1" s="48"/>
      <c r="E1" s="49"/>
      <c r="F1" s="49"/>
      <c r="G1" s="49"/>
      <c r="H1" s="49"/>
      <c r="I1" s="49"/>
      <c r="J1" s="49"/>
    </row>
    <row r="3" spans="1:10" x14ac:dyDescent="0.2">
      <c r="B3" s="11" t="s">
        <v>18</v>
      </c>
    </row>
    <row r="4" spans="1:10" x14ac:dyDescent="0.2">
      <c r="B4" s="11" t="s">
        <v>20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15</v>
      </c>
    </row>
    <row r="5" spans="1:10" s="1" customFormat="1" x14ac:dyDescent="0.2">
      <c r="A5" s="1" t="s">
        <v>17</v>
      </c>
      <c r="B5" s="11" t="s">
        <v>11</v>
      </c>
      <c r="C5" s="7" t="s">
        <v>12</v>
      </c>
      <c r="D5" s="7" t="s">
        <v>13</v>
      </c>
      <c r="E5" s="3" t="s">
        <v>3</v>
      </c>
      <c r="F5" s="3" t="s">
        <v>17</v>
      </c>
      <c r="G5" s="3" t="s">
        <v>14</v>
      </c>
      <c r="H5" s="3" t="s">
        <v>4</v>
      </c>
      <c r="I5" s="3" t="s">
        <v>5</v>
      </c>
      <c r="J5" s="3" t="s">
        <v>19</v>
      </c>
    </row>
    <row r="6" spans="1:10" x14ac:dyDescent="0.2">
      <c r="A6" t="s">
        <v>7</v>
      </c>
      <c r="B6" s="10" t="s">
        <v>0</v>
      </c>
      <c r="C6" s="5">
        <f>(20/21)*100</f>
        <v>95.238095238095227</v>
      </c>
      <c r="D6" s="5">
        <f>(1/21)*100</f>
        <v>4.7619047619047619</v>
      </c>
      <c r="E6" s="4">
        <v>0.1</v>
      </c>
      <c r="F6" s="2">
        <v>3000</v>
      </c>
      <c r="G6" s="2">
        <f>F6*0.1</f>
        <v>300</v>
      </c>
      <c r="H6" s="8">
        <f>G6*(C6/100)</f>
        <v>285.71428571428567</v>
      </c>
      <c r="I6" s="8">
        <f>G6*(D6/100)</f>
        <v>14.285714285714285</v>
      </c>
      <c r="J6" s="2">
        <f>H6/I6</f>
        <v>19.999999999999996</v>
      </c>
    </row>
    <row r="7" spans="1:10" x14ac:dyDescent="0.2">
      <c r="A7" t="s">
        <v>8</v>
      </c>
      <c r="B7" s="10" t="s">
        <v>9</v>
      </c>
      <c r="C7" s="5">
        <f>(12/13)*100</f>
        <v>92.307692307692307</v>
      </c>
      <c r="D7" s="5">
        <f>(1/13)*100</f>
        <v>7.6923076923076925</v>
      </c>
      <c r="E7" s="4">
        <v>0.5</v>
      </c>
      <c r="F7" s="2">
        <v>7000</v>
      </c>
      <c r="G7" s="2">
        <f>F7*0.5</f>
        <v>3500</v>
      </c>
      <c r="H7" s="8">
        <f>G7*(C7/100)</f>
        <v>3230.7692307692305</v>
      </c>
      <c r="I7" s="8">
        <f>G7*(D7/100)</f>
        <v>269.23076923076923</v>
      </c>
      <c r="J7" s="2">
        <f t="shared" ref="J7" si="0">H7/I7</f>
        <v>12</v>
      </c>
    </row>
    <row r="8" spans="1:10" x14ac:dyDescent="0.2">
      <c r="A8" t="s">
        <v>10</v>
      </c>
      <c r="B8" s="10" t="s">
        <v>1</v>
      </c>
      <c r="C8" s="5">
        <v>100</v>
      </c>
      <c r="D8" s="5">
        <v>0</v>
      </c>
      <c r="E8" s="4">
        <v>0.85</v>
      </c>
      <c r="F8" s="2">
        <v>2000</v>
      </c>
      <c r="G8" s="2">
        <f>F8*0.85</f>
        <v>1700</v>
      </c>
      <c r="H8" s="2">
        <f>G8*(C8/100)</f>
        <v>1700</v>
      </c>
      <c r="I8" s="2">
        <f>G8*(D8/100)</f>
        <v>0</v>
      </c>
    </row>
    <row r="10" spans="1:10" x14ac:dyDescent="0.2">
      <c r="F10" s="3" t="s">
        <v>16</v>
      </c>
      <c r="G10" s="2">
        <f>SUM(G6:G8)</f>
        <v>5500</v>
      </c>
      <c r="H10" s="8">
        <f>SUM(H6:H8)</f>
        <v>5216.4835164835167</v>
      </c>
      <c r="I10" s="8">
        <f>SUM(I6:I8)</f>
        <v>283.5164835164835</v>
      </c>
      <c r="J10" s="9">
        <f>H10/I10</f>
        <v>18.399224806201552</v>
      </c>
    </row>
    <row r="12" spans="1:10" x14ac:dyDescent="0.2">
      <c r="H12" s="2" t="s">
        <v>6</v>
      </c>
      <c r="I12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workbookViewId="0">
      <selection activeCell="I32" sqref="I32"/>
    </sheetView>
  </sheetViews>
  <sheetFormatPr baseColWidth="10" defaultRowHeight="16" x14ac:dyDescent="0.2"/>
  <cols>
    <col min="1" max="1" width="14" customWidth="1"/>
    <col min="2" max="2" width="8.6640625" style="16" customWidth="1"/>
    <col min="3" max="3" width="9.83203125" style="14" customWidth="1"/>
    <col min="4" max="4" width="12" style="14" customWidth="1"/>
    <col min="5" max="5" width="10.83203125" style="14"/>
  </cols>
  <sheetData>
    <row r="1" spans="1:5" s="1" customFormat="1" ht="19" x14ac:dyDescent="0.25">
      <c r="A1" s="46" t="s">
        <v>38</v>
      </c>
      <c r="B1" s="15"/>
      <c r="C1" s="13"/>
      <c r="D1" s="13"/>
      <c r="E1" s="13"/>
    </row>
    <row r="2" spans="1:5" s="1" customFormat="1" x14ac:dyDescent="0.2">
      <c r="B2" s="15"/>
      <c r="C2" s="13"/>
      <c r="D2" s="13"/>
      <c r="E2" s="13"/>
    </row>
    <row r="3" spans="1:5" s="1" customFormat="1" x14ac:dyDescent="0.2">
      <c r="A3" s="18">
        <v>42012</v>
      </c>
      <c r="B3" s="19"/>
      <c r="C3" s="20"/>
      <c r="D3" s="20"/>
      <c r="E3" s="37"/>
    </row>
    <row r="4" spans="1:5" s="12" customFormat="1" ht="51" x14ac:dyDescent="0.2">
      <c r="A4" s="21" t="s">
        <v>17</v>
      </c>
      <c r="B4" s="22" t="s">
        <v>2</v>
      </c>
      <c r="C4" s="23" t="s">
        <v>31</v>
      </c>
      <c r="D4" s="23" t="s">
        <v>37</v>
      </c>
      <c r="E4" s="38" t="s">
        <v>32</v>
      </c>
    </row>
    <row r="5" spans="1:5" x14ac:dyDescent="0.2">
      <c r="A5" s="24" t="s">
        <v>21</v>
      </c>
      <c r="B5" s="25">
        <v>3000</v>
      </c>
      <c r="C5" s="26">
        <f>B5/264.1</f>
        <v>11.359333585762968</v>
      </c>
      <c r="D5" s="27">
        <v>20</v>
      </c>
      <c r="E5" s="39">
        <f>C5*D5</f>
        <v>227.18667171525937</v>
      </c>
    </row>
    <row r="6" spans="1:5" x14ac:dyDescent="0.2">
      <c r="A6" s="24" t="s">
        <v>22</v>
      </c>
      <c r="B6" s="25">
        <v>1800</v>
      </c>
      <c r="C6" s="26">
        <f t="shared" ref="C6:C13" si="0">B6/264.1</f>
        <v>6.8156001514577804</v>
      </c>
      <c r="D6" s="27">
        <v>20</v>
      </c>
      <c r="E6" s="39">
        <f t="shared" ref="E6:E13" si="1">C6*D6</f>
        <v>136.31200302915562</v>
      </c>
    </row>
    <row r="7" spans="1:5" x14ac:dyDescent="0.2">
      <c r="A7" s="24" t="s">
        <v>23</v>
      </c>
      <c r="B7" s="25">
        <v>0</v>
      </c>
      <c r="C7" s="26">
        <f>B7/(264.1*0.7)</f>
        <v>0</v>
      </c>
      <c r="D7" s="27">
        <v>60</v>
      </c>
      <c r="E7" s="39">
        <f t="shared" si="1"/>
        <v>0</v>
      </c>
    </row>
    <row r="8" spans="1:5" x14ac:dyDescent="0.2">
      <c r="A8" s="24" t="s">
        <v>24</v>
      </c>
      <c r="B8" s="25">
        <v>0</v>
      </c>
      <c r="C8" s="26">
        <f>B8/(264.1*0.7)</f>
        <v>0</v>
      </c>
      <c r="D8" s="27">
        <v>159</v>
      </c>
      <c r="E8" s="39">
        <f t="shared" si="1"/>
        <v>0</v>
      </c>
    </row>
    <row r="9" spans="1:5" x14ac:dyDescent="0.2">
      <c r="A9" s="24" t="s">
        <v>25</v>
      </c>
      <c r="B9" s="25">
        <v>0</v>
      </c>
      <c r="C9" s="26">
        <f>B9/(264.1*0.7)</f>
        <v>0</v>
      </c>
      <c r="D9" s="27">
        <v>72.900000000000006</v>
      </c>
      <c r="E9" s="39">
        <f t="shared" si="1"/>
        <v>0</v>
      </c>
    </row>
    <row r="10" spans="1:5" x14ac:dyDescent="0.2">
      <c r="A10" s="24" t="s">
        <v>26</v>
      </c>
      <c r="B10" s="25">
        <v>4000</v>
      </c>
      <c r="C10" s="26">
        <f t="shared" si="0"/>
        <v>15.145778114350623</v>
      </c>
      <c r="D10" s="27">
        <v>10</v>
      </c>
      <c r="E10" s="39">
        <f t="shared" si="1"/>
        <v>151.45778114350622</v>
      </c>
    </row>
    <row r="11" spans="1:5" x14ac:dyDescent="0.2">
      <c r="A11" s="24" t="s">
        <v>27</v>
      </c>
      <c r="B11" s="25">
        <v>1000</v>
      </c>
      <c r="C11" s="26">
        <f t="shared" si="0"/>
        <v>3.7864445285876558</v>
      </c>
      <c r="D11" s="27">
        <v>80</v>
      </c>
      <c r="E11" s="39">
        <f t="shared" si="1"/>
        <v>302.91556228701245</v>
      </c>
    </row>
    <row r="12" spans="1:5" x14ac:dyDescent="0.2">
      <c r="A12" s="24" t="s">
        <v>8</v>
      </c>
      <c r="B12" s="25">
        <v>0</v>
      </c>
      <c r="C12" s="26">
        <f t="shared" si="0"/>
        <v>0</v>
      </c>
      <c r="D12" s="27">
        <v>98</v>
      </c>
      <c r="E12" s="39">
        <f t="shared" si="1"/>
        <v>0</v>
      </c>
    </row>
    <row r="13" spans="1:5" x14ac:dyDescent="0.2">
      <c r="A13" s="24" t="s">
        <v>10</v>
      </c>
      <c r="B13" s="25">
        <v>500</v>
      </c>
      <c r="C13" s="26">
        <f t="shared" si="0"/>
        <v>1.8932222642938279</v>
      </c>
      <c r="D13" s="27">
        <v>214</v>
      </c>
      <c r="E13" s="39">
        <f t="shared" si="1"/>
        <v>405.14956455887915</v>
      </c>
    </row>
    <row r="14" spans="1:5" x14ac:dyDescent="0.2">
      <c r="A14" s="24" t="s">
        <v>28</v>
      </c>
      <c r="B14" s="25">
        <v>25</v>
      </c>
      <c r="C14" s="28"/>
      <c r="D14" s="27"/>
      <c r="E14" s="40"/>
    </row>
    <row r="15" spans="1:5" x14ac:dyDescent="0.2">
      <c r="A15" s="24" t="s">
        <v>29</v>
      </c>
      <c r="B15" s="25">
        <v>0</v>
      </c>
      <c r="C15" s="28"/>
      <c r="D15" s="27"/>
      <c r="E15" s="40"/>
    </row>
    <row r="16" spans="1:5" x14ac:dyDescent="0.2">
      <c r="A16" s="24" t="s">
        <v>30</v>
      </c>
      <c r="B16" s="25"/>
      <c r="C16" s="28"/>
      <c r="D16" s="27"/>
      <c r="E16" s="40"/>
    </row>
    <row r="17" spans="1:5" x14ac:dyDescent="0.2">
      <c r="A17" s="24"/>
      <c r="B17" s="25"/>
      <c r="C17" s="27"/>
      <c r="D17" s="27"/>
      <c r="E17" s="40"/>
    </row>
    <row r="18" spans="1:5" x14ac:dyDescent="0.2">
      <c r="A18" s="29" t="s">
        <v>33</v>
      </c>
      <c r="B18" s="25">
        <f>SUM(B5:B16)</f>
        <v>10325</v>
      </c>
      <c r="C18" s="27"/>
      <c r="D18" s="27"/>
      <c r="E18" s="30">
        <f>SUM(E5:E16)</f>
        <v>1223.0215827338129</v>
      </c>
    </row>
    <row r="19" spans="1:5" x14ac:dyDescent="0.2">
      <c r="A19" s="29" t="s">
        <v>34</v>
      </c>
      <c r="B19" s="25">
        <f>(SUM(B5:B10)*100)/B18</f>
        <v>85.230024213075055</v>
      </c>
      <c r="C19" s="27"/>
      <c r="D19" s="27"/>
      <c r="E19" s="40"/>
    </row>
    <row r="20" spans="1:5" x14ac:dyDescent="0.2">
      <c r="A20" s="24"/>
      <c r="B20" s="25"/>
      <c r="C20" s="27"/>
      <c r="D20" s="27"/>
      <c r="E20" s="40"/>
    </row>
    <row r="21" spans="1:5" x14ac:dyDescent="0.2">
      <c r="A21" s="31" t="s">
        <v>35</v>
      </c>
      <c r="B21" s="25"/>
      <c r="C21" s="27"/>
      <c r="D21" s="27"/>
      <c r="E21" s="41">
        <v>519</v>
      </c>
    </row>
    <row r="22" spans="1:5" x14ac:dyDescent="0.2">
      <c r="A22" s="32" t="s">
        <v>36</v>
      </c>
      <c r="B22" s="33"/>
      <c r="C22" s="34"/>
      <c r="D22" s="34"/>
      <c r="E22" s="42">
        <f>1232/(0.553*10*0.388)</f>
        <v>574.18765496541823</v>
      </c>
    </row>
    <row r="23" spans="1:5" x14ac:dyDescent="0.2">
      <c r="A23" s="17"/>
      <c r="E23" s="43"/>
    </row>
    <row r="25" spans="1:5" x14ac:dyDescent="0.2">
      <c r="A25" s="18">
        <v>42093</v>
      </c>
      <c r="B25" s="35"/>
      <c r="C25" s="36"/>
      <c r="D25" s="36"/>
      <c r="E25" s="44"/>
    </row>
    <row r="26" spans="1:5" ht="51" x14ac:dyDescent="0.2">
      <c r="A26" s="21" t="s">
        <v>17</v>
      </c>
      <c r="B26" s="22" t="s">
        <v>2</v>
      </c>
      <c r="C26" s="23" t="s">
        <v>31</v>
      </c>
      <c r="D26" s="23" t="s">
        <v>37</v>
      </c>
      <c r="E26" s="38" t="s">
        <v>32</v>
      </c>
    </row>
    <row r="27" spans="1:5" x14ac:dyDescent="0.2">
      <c r="A27" s="24" t="s">
        <v>21</v>
      </c>
      <c r="B27" s="25">
        <v>4000</v>
      </c>
      <c r="C27" s="26">
        <f>B27/264.1</f>
        <v>15.145778114350623</v>
      </c>
      <c r="D27" s="27">
        <v>20</v>
      </c>
      <c r="E27" s="39">
        <f>C27*D27</f>
        <v>302.91556228701245</v>
      </c>
    </row>
    <row r="28" spans="1:5" x14ac:dyDescent="0.2">
      <c r="A28" s="24" t="s">
        <v>22</v>
      </c>
      <c r="B28" s="25">
        <v>1800</v>
      </c>
      <c r="C28" s="26">
        <f t="shared" ref="C28:C35" si="2">B28/264.1</f>
        <v>6.8156001514577804</v>
      </c>
      <c r="D28" s="27">
        <v>20</v>
      </c>
      <c r="E28" s="39">
        <f t="shared" ref="E28:E35" si="3">C28*D28</f>
        <v>136.31200302915562</v>
      </c>
    </row>
    <row r="29" spans="1:5" x14ac:dyDescent="0.2">
      <c r="A29" s="24" t="s">
        <v>23</v>
      </c>
      <c r="B29" s="25">
        <v>1250</v>
      </c>
      <c r="C29" s="26">
        <f>B29/(264.1*0.7)</f>
        <v>6.7615080867636719</v>
      </c>
      <c r="D29" s="27">
        <v>60</v>
      </c>
      <c r="E29" s="39">
        <f t="shared" si="3"/>
        <v>405.69048520582032</v>
      </c>
    </row>
    <row r="30" spans="1:5" x14ac:dyDescent="0.2">
      <c r="A30" s="24" t="s">
        <v>24</v>
      </c>
      <c r="B30" s="25">
        <v>0</v>
      </c>
      <c r="C30" s="26">
        <f>B30/(264.1*0.7)</f>
        <v>0</v>
      </c>
      <c r="D30" s="27">
        <v>159</v>
      </c>
      <c r="E30" s="39">
        <f t="shared" si="3"/>
        <v>0</v>
      </c>
    </row>
    <row r="31" spans="1:5" x14ac:dyDescent="0.2">
      <c r="A31" s="24" t="s">
        <v>25</v>
      </c>
      <c r="B31" s="25">
        <v>0</v>
      </c>
      <c r="C31" s="26">
        <f>B31/(264.1*0.7)</f>
        <v>0</v>
      </c>
      <c r="D31" s="27">
        <v>72.900000000000006</v>
      </c>
      <c r="E31" s="39">
        <f t="shared" si="3"/>
        <v>0</v>
      </c>
    </row>
    <row r="32" spans="1:5" x14ac:dyDescent="0.2">
      <c r="A32" s="24" t="s">
        <v>26</v>
      </c>
      <c r="B32" s="25">
        <v>0</v>
      </c>
      <c r="C32" s="26">
        <f t="shared" si="2"/>
        <v>0</v>
      </c>
      <c r="D32" s="27">
        <v>10</v>
      </c>
      <c r="E32" s="39">
        <f t="shared" si="3"/>
        <v>0</v>
      </c>
    </row>
    <row r="33" spans="1:5" x14ac:dyDescent="0.2">
      <c r="A33" s="24" t="s">
        <v>27</v>
      </c>
      <c r="B33" s="25">
        <v>4000</v>
      </c>
      <c r="C33" s="26">
        <f t="shared" si="2"/>
        <v>15.145778114350623</v>
      </c>
      <c r="D33" s="27">
        <v>80</v>
      </c>
      <c r="E33" s="39">
        <f t="shared" si="3"/>
        <v>1211.6622491480498</v>
      </c>
    </row>
    <row r="34" spans="1:5" x14ac:dyDescent="0.2">
      <c r="A34" s="24" t="s">
        <v>8</v>
      </c>
      <c r="B34" s="25">
        <v>4000</v>
      </c>
      <c r="C34" s="26">
        <f t="shared" si="2"/>
        <v>15.145778114350623</v>
      </c>
      <c r="D34" s="27">
        <v>98</v>
      </c>
      <c r="E34" s="39">
        <f t="shared" si="3"/>
        <v>1484.2862552063611</v>
      </c>
    </row>
    <row r="35" spans="1:5" x14ac:dyDescent="0.2">
      <c r="A35" s="24" t="s">
        <v>10</v>
      </c>
      <c r="B35" s="25">
        <v>1000</v>
      </c>
      <c r="C35" s="26">
        <f t="shared" si="2"/>
        <v>3.7864445285876558</v>
      </c>
      <c r="D35" s="27">
        <v>214</v>
      </c>
      <c r="E35" s="39">
        <f t="shared" si="3"/>
        <v>810.2991291177583</v>
      </c>
    </row>
    <row r="36" spans="1:5" x14ac:dyDescent="0.2">
      <c r="A36" s="24" t="s">
        <v>28</v>
      </c>
      <c r="B36" s="25">
        <v>50</v>
      </c>
      <c r="C36" s="27"/>
      <c r="D36" s="27"/>
      <c r="E36" s="40"/>
    </row>
    <row r="37" spans="1:5" x14ac:dyDescent="0.2">
      <c r="A37" s="24" t="s">
        <v>29</v>
      </c>
      <c r="B37" s="25"/>
      <c r="C37" s="27"/>
      <c r="D37" s="27"/>
      <c r="E37" s="40"/>
    </row>
    <row r="38" spans="1:5" x14ac:dyDescent="0.2">
      <c r="A38" s="24" t="s">
        <v>30</v>
      </c>
      <c r="B38" s="25"/>
      <c r="C38" s="27"/>
      <c r="D38" s="27"/>
      <c r="E38" s="40"/>
    </row>
    <row r="39" spans="1:5" x14ac:dyDescent="0.2">
      <c r="A39" s="24"/>
      <c r="B39" s="25"/>
      <c r="C39" s="27"/>
      <c r="D39" s="27"/>
      <c r="E39" s="40"/>
    </row>
    <row r="40" spans="1:5" x14ac:dyDescent="0.2">
      <c r="A40" s="29" t="s">
        <v>33</v>
      </c>
      <c r="B40" s="25">
        <f>SUM(B27:B38)</f>
        <v>16100</v>
      </c>
      <c r="C40" s="27"/>
      <c r="D40" s="27"/>
      <c r="E40" s="30">
        <f>SUM(E27:E38)</f>
        <v>4351.1656839941579</v>
      </c>
    </row>
    <row r="41" spans="1:5" x14ac:dyDescent="0.2">
      <c r="A41" s="29" t="s">
        <v>34</v>
      </c>
      <c r="B41" s="25">
        <f>(SUM(B27:B32)*100)/B40</f>
        <v>43.788819875776397</v>
      </c>
      <c r="C41" s="27"/>
      <c r="D41" s="27"/>
      <c r="E41" s="40"/>
    </row>
    <row r="42" spans="1:5" x14ac:dyDescent="0.2">
      <c r="A42" s="24"/>
      <c r="B42" s="25"/>
      <c r="C42" s="27"/>
      <c r="D42" s="27"/>
      <c r="E42" s="40"/>
    </row>
    <row r="43" spans="1:5" x14ac:dyDescent="0.2">
      <c r="A43" s="31" t="s">
        <v>35</v>
      </c>
      <c r="B43" s="25"/>
      <c r="C43" s="27"/>
      <c r="D43" s="27"/>
      <c r="E43" s="45">
        <v>2213</v>
      </c>
    </row>
    <row r="44" spans="1:5" x14ac:dyDescent="0.2">
      <c r="A44" s="32" t="s">
        <v>36</v>
      </c>
      <c r="B44" s="33"/>
      <c r="C44" s="34"/>
      <c r="D44" s="34"/>
      <c r="E44" s="42">
        <f>7303/(0.561*10*0.388)</f>
        <v>3355.1096164801438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AB090-A3C8-4F45-9C38-AA6E284E9A5A}">
  <dimension ref="A1:V40"/>
  <sheetViews>
    <sheetView tabSelected="1" workbookViewId="0">
      <selection activeCell="B27" sqref="B27"/>
    </sheetView>
  </sheetViews>
  <sheetFormatPr baseColWidth="10" defaultRowHeight="16" x14ac:dyDescent="0.2"/>
  <cols>
    <col min="1" max="1" width="20.5" customWidth="1"/>
    <col min="2" max="2" width="8.5" style="2" customWidth="1"/>
    <col min="3" max="5" width="9" style="2" customWidth="1"/>
    <col min="6" max="6" width="9.1640625" style="10" customWidth="1"/>
    <col min="7" max="7" width="10.83203125" style="2"/>
    <col min="8" max="8" width="6.33203125" style="2" customWidth="1"/>
    <col min="9" max="9" width="3.6640625" style="2" customWidth="1"/>
    <col min="10" max="11" width="7" style="5" customWidth="1"/>
    <col min="12" max="13" width="8.1640625" style="5" customWidth="1"/>
    <col min="14" max="14" width="3.1640625" style="2" customWidth="1"/>
    <col min="15" max="15" width="6.5" style="8" customWidth="1"/>
    <col min="16" max="16" width="6.1640625" style="8" customWidth="1"/>
    <col min="17" max="17" width="3" style="8" customWidth="1"/>
    <col min="18" max="18" width="5.1640625" style="2" customWidth="1"/>
    <col min="19" max="19" width="5.83203125" style="2" customWidth="1"/>
  </cols>
  <sheetData>
    <row r="1" spans="1:19" ht="19" x14ac:dyDescent="0.25">
      <c r="A1" s="68" t="s">
        <v>108</v>
      </c>
    </row>
    <row r="2" spans="1:19" ht="19" x14ac:dyDescent="0.25">
      <c r="A2" s="68"/>
    </row>
    <row r="3" spans="1:19" x14ac:dyDescent="0.2">
      <c r="B3" s="186" t="s">
        <v>102</v>
      </c>
      <c r="C3" s="186"/>
      <c r="D3" s="186"/>
      <c r="E3" s="186"/>
      <c r="F3" s="186"/>
      <c r="G3" s="186"/>
      <c r="H3" s="186"/>
      <c r="J3" s="187" t="s">
        <v>103</v>
      </c>
      <c r="K3" s="187"/>
      <c r="L3" s="187"/>
      <c r="M3" s="187"/>
      <c r="N3" s="187"/>
      <c r="O3" s="187"/>
      <c r="P3" s="187"/>
      <c r="Q3" s="187"/>
      <c r="R3" s="187"/>
      <c r="S3" s="187"/>
    </row>
    <row r="4" spans="1:19" s="61" customFormat="1" ht="51" x14ac:dyDescent="0.2">
      <c r="A4" s="59" t="s">
        <v>17</v>
      </c>
      <c r="B4" s="166" t="s">
        <v>2</v>
      </c>
      <c r="C4" s="65" t="s">
        <v>31</v>
      </c>
      <c r="D4" s="54" t="s">
        <v>51</v>
      </c>
      <c r="E4" s="54" t="s">
        <v>52</v>
      </c>
      <c r="F4" s="60" t="s">
        <v>53</v>
      </c>
      <c r="G4" s="65" t="s">
        <v>58</v>
      </c>
      <c r="H4" s="65" t="s">
        <v>104</v>
      </c>
      <c r="I4" s="65"/>
      <c r="J4" s="53" t="s">
        <v>44</v>
      </c>
      <c r="K4" s="53" t="s">
        <v>45</v>
      </c>
      <c r="L4" s="53" t="s">
        <v>54</v>
      </c>
      <c r="M4" s="53" t="s">
        <v>55</v>
      </c>
      <c r="N4" s="65"/>
      <c r="O4" s="54" t="s">
        <v>106</v>
      </c>
      <c r="P4" s="54" t="s">
        <v>47</v>
      </c>
      <c r="Q4" s="54"/>
      <c r="R4" s="176" t="s">
        <v>107</v>
      </c>
      <c r="S4" s="54" t="s">
        <v>47</v>
      </c>
    </row>
    <row r="5" spans="1:19" s="61" customFormat="1" x14ac:dyDescent="0.2">
      <c r="A5" s="59"/>
      <c r="B5" s="166"/>
      <c r="C5" s="65"/>
      <c r="D5" s="54"/>
      <c r="E5" s="54"/>
      <c r="F5" s="60"/>
      <c r="G5" s="65"/>
      <c r="H5" s="65"/>
      <c r="I5" s="65"/>
      <c r="J5" s="53"/>
      <c r="K5" s="53"/>
      <c r="L5" s="53"/>
      <c r="M5" s="53"/>
      <c r="N5" s="65"/>
      <c r="O5" s="54"/>
      <c r="P5" s="54"/>
      <c r="Q5" s="54"/>
      <c r="R5" s="174"/>
      <c r="S5" s="174"/>
    </row>
    <row r="6" spans="1:19" s="61" customFormat="1" ht="18" thickBot="1" x14ac:dyDescent="0.25">
      <c r="A6" s="188" t="s">
        <v>57</v>
      </c>
      <c r="B6" s="166"/>
      <c r="C6" s="65"/>
      <c r="D6" s="54"/>
      <c r="E6" s="54"/>
      <c r="F6" s="60"/>
      <c r="G6" s="65"/>
      <c r="H6" s="65"/>
      <c r="I6" s="65"/>
      <c r="J6" s="53"/>
      <c r="K6" s="53"/>
      <c r="L6" s="53"/>
      <c r="M6" s="53"/>
      <c r="N6" s="65"/>
      <c r="O6" s="54"/>
      <c r="P6" s="54"/>
      <c r="Q6" s="54"/>
      <c r="R6" s="174"/>
      <c r="S6" s="174"/>
    </row>
    <row r="7" spans="1:19" x14ac:dyDescent="0.2">
      <c r="A7" s="24" t="s">
        <v>21</v>
      </c>
      <c r="B7" s="167">
        <v>0</v>
      </c>
      <c r="C7" s="55">
        <f>B7/264.1</f>
        <v>0</v>
      </c>
      <c r="D7" s="58">
        <v>8</v>
      </c>
      <c r="E7" s="58">
        <f>B7*(D7/100)</f>
        <v>0</v>
      </c>
      <c r="F7" s="50" t="s">
        <v>0</v>
      </c>
      <c r="G7" s="56">
        <v>20</v>
      </c>
      <c r="H7" s="56">
        <v>55</v>
      </c>
      <c r="I7" s="56"/>
      <c r="J7" s="51">
        <f>20/21</f>
        <v>0.95238095238095233</v>
      </c>
      <c r="K7" s="51">
        <f>1-J7</f>
        <v>4.7619047619047672E-2</v>
      </c>
      <c r="L7" s="51">
        <f>C7*J7</f>
        <v>0</v>
      </c>
      <c r="M7" s="51">
        <f>C7*K7</f>
        <v>0</v>
      </c>
      <c r="N7" s="56"/>
      <c r="O7" s="66">
        <f t="shared" ref="O7:O12" si="0">C7*G7</f>
        <v>0</v>
      </c>
      <c r="P7" s="8">
        <f>O7*2</f>
        <v>0</v>
      </c>
      <c r="R7" s="2">
        <f>O7*(H7/100)</f>
        <v>0</v>
      </c>
      <c r="S7" s="2">
        <f>R7*10*0.338</f>
        <v>0</v>
      </c>
    </row>
    <row r="8" spans="1:19" x14ac:dyDescent="0.2">
      <c r="A8" s="24" t="s">
        <v>22</v>
      </c>
      <c r="B8" s="168">
        <v>0</v>
      </c>
      <c r="C8" s="55">
        <f t="shared" ref="C8:C26" si="1">B8/264.1</f>
        <v>0</v>
      </c>
      <c r="D8" s="58">
        <v>8</v>
      </c>
      <c r="E8" s="58">
        <f t="shared" ref="E8:E26" si="2">B8*(D8/100)</f>
        <v>0</v>
      </c>
      <c r="F8" s="50" t="s">
        <v>40</v>
      </c>
      <c r="G8" s="56">
        <v>20</v>
      </c>
      <c r="H8" s="56">
        <v>55</v>
      </c>
      <c r="I8" s="56"/>
      <c r="J8" s="51">
        <f>10/11</f>
        <v>0.90909090909090906</v>
      </c>
      <c r="K8" s="51">
        <f t="shared" ref="K8:K25" si="3">1-J8</f>
        <v>9.0909090909090939E-2</v>
      </c>
      <c r="L8" s="51">
        <f t="shared" ref="L8:L24" si="4">C8*J8</f>
        <v>0</v>
      </c>
      <c r="M8" s="51">
        <f t="shared" ref="M8:M24" si="5">C8*K8</f>
        <v>0</v>
      </c>
      <c r="N8" s="56"/>
      <c r="O8" s="66">
        <f t="shared" si="0"/>
        <v>0</v>
      </c>
      <c r="P8" s="8">
        <f t="shared" ref="P8:P26" si="6">O8*2</f>
        <v>0</v>
      </c>
      <c r="R8" s="2">
        <f t="shared" ref="R8:R26" si="7">O8*(H8/100)</f>
        <v>0</v>
      </c>
      <c r="S8" s="2">
        <f t="shared" ref="S8:S26" si="8">R8*10*0.338</f>
        <v>0</v>
      </c>
    </row>
    <row r="9" spans="1:19" x14ac:dyDescent="0.2">
      <c r="A9" s="24" t="s">
        <v>23</v>
      </c>
      <c r="B9" s="168">
        <v>0</v>
      </c>
      <c r="C9" s="55">
        <f>B9/(264.1*0.7)</f>
        <v>0</v>
      </c>
      <c r="D9" s="58">
        <v>25</v>
      </c>
      <c r="E9" s="58">
        <f t="shared" si="2"/>
        <v>0</v>
      </c>
      <c r="F9" s="50" t="s">
        <v>0</v>
      </c>
      <c r="G9" s="56">
        <v>60</v>
      </c>
      <c r="H9" s="56">
        <v>55</v>
      </c>
      <c r="I9" s="56"/>
      <c r="J9" s="51">
        <f>20/21</f>
        <v>0.95238095238095233</v>
      </c>
      <c r="K9" s="51">
        <f t="shared" si="3"/>
        <v>4.7619047619047672E-2</v>
      </c>
      <c r="L9" s="51">
        <f t="shared" si="4"/>
        <v>0</v>
      </c>
      <c r="M9" s="51">
        <f t="shared" si="5"/>
        <v>0</v>
      </c>
      <c r="N9" s="56"/>
      <c r="O9" s="66">
        <f t="shared" si="0"/>
        <v>0</v>
      </c>
      <c r="P9" s="8">
        <f t="shared" si="6"/>
        <v>0</v>
      </c>
      <c r="R9" s="2">
        <f t="shared" si="7"/>
        <v>0</v>
      </c>
      <c r="S9" s="2">
        <f t="shared" si="8"/>
        <v>0</v>
      </c>
    </row>
    <row r="10" spans="1:19" x14ac:dyDescent="0.2">
      <c r="A10" s="24" t="s">
        <v>24</v>
      </c>
      <c r="B10" s="168">
        <v>0</v>
      </c>
      <c r="C10" s="55">
        <f>B10/(264.1*0.7)</f>
        <v>0</v>
      </c>
      <c r="D10" s="58">
        <v>25</v>
      </c>
      <c r="E10" s="58">
        <f t="shared" si="2"/>
        <v>0</v>
      </c>
      <c r="F10" s="50" t="s">
        <v>41</v>
      </c>
      <c r="G10" s="67">
        <v>159</v>
      </c>
      <c r="H10" s="67">
        <v>55</v>
      </c>
      <c r="I10" s="67"/>
      <c r="J10" s="51">
        <f>17.5/18.5</f>
        <v>0.94594594594594594</v>
      </c>
      <c r="K10" s="51">
        <f t="shared" si="3"/>
        <v>5.4054054054054057E-2</v>
      </c>
      <c r="L10" s="51">
        <f t="shared" si="4"/>
        <v>0</v>
      </c>
      <c r="M10" s="51">
        <f t="shared" si="5"/>
        <v>0</v>
      </c>
      <c r="N10" s="67"/>
      <c r="O10" s="66">
        <f t="shared" si="0"/>
        <v>0</v>
      </c>
      <c r="P10" s="8">
        <f t="shared" si="6"/>
        <v>0</v>
      </c>
      <c r="R10" s="2">
        <f t="shared" si="7"/>
        <v>0</v>
      </c>
      <c r="S10" s="2">
        <f t="shared" si="8"/>
        <v>0</v>
      </c>
    </row>
    <row r="11" spans="1:19" x14ac:dyDescent="0.2">
      <c r="A11" s="24" t="s">
        <v>25</v>
      </c>
      <c r="B11" s="168">
        <v>0</v>
      </c>
      <c r="C11" s="55">
        <f>B11/(264.1*0.7)</f>
        <v>0</v>
      </c>
      <c r="D11" s="58">
        <v>15</v>
      </c>
      <c r="E11" s="58">
        <f t="shared" si="2"/>
        <v>0</v>
      </c>
      <c r="F11" s="10" t="s">
        <v>42</v>
      </c>
      <c r="G11" s="56">
        <v>72.900000000000006</v>
      </c>
      <c r="H11" s="56">
        <v>55</v>
      </c>
      <c r="I11" s="56"/>
      <c r="J11" s="5">
        <f>18.5/19.5</f>
        <v>0.94871794871794868</v>
      </c>
      <c r="K11" s="51">
        <f t="shared" si="3"/>
        <v>5.1282051282051322E-2</v>
      </c>
      <c r="L11" s="51">
        <f t="shared" si="4"/>
        <v>0</v>
      </c>
      <c r="M11" s="51">
        <f t="shared" si="5"/>
        <v>0</v>
      </c>
      <c r="N11" s="56"/>
      <c r="O11" s="66">
        <f t="shared" si="0"/>
        <v>0</v>
      </c>
      <c r="P11" s="8">
        <f t="shared" si="6"/>
        <v>0</v>
      </c>
      <c r="R11" s="2">
        <f t="shared" si="7"/>
        <v>0</v>
      </c>
      <c r="S11" s="2">
        <f t="shared" si="8"/>
        <v>0</v>
      </c>
    </row>
    <row r="12" spans="1:19" x14ac:dyDescent="0.2">
      <c r="A12" s="24" t="s">
        <v>87</v>
      </c>
      <c r="B12" s="168">
        <v>0</v>
      </c>
      <c r="C12" s="55">
        <f>B12/(264.1*0.7)</f>
        <v>0</v>
      </c>
      <c r="D12" s="58">
        <v>20</v>
      </c>
      <c r="E12" s="58">
        <f t="shared" si="2"/>
        <v>0</v>
      </c>
      <c r="F12" s="10" t="s">
        <v>88</v>
      </c>
      <c r="G12" s="56">
        <v>160</v>
      </c>
      <c r="H12" s="56">
        <v>55</v>
      </c>
      <c r="I12" s="56"/>
      <c r="J12" s="5">
        <f>15/16</f>
        <v>0.9375</v>
      </c>
      <c r="K12" s="51">
        <f t="shared" si="3"/>
        <v>6.25E-2</v>
      </c>
      <c r="L12" s="51">
        <f t="shared" si="4"/>
        <v>0</v>
      </c>
      <c r="M12" s="51">
        <f t="shared" si="5"/>
        <v>0</v>
      </c>
      <c r="N12" s="56"/>
      <c r="O12" s="66">
        <f t="shared" si="0"/>
        <v>0</v>
      </c>
      <c r="P12" s="8">
        <f t="shared" si="6"/>
        <v>0</v>
      </c>
      <c r="R12" s="2">
        <f t="shared" si="7"/>
        <v>0</v>
      </c>
      <c r="S12" s="2">
        <f t="shared" si="8"/>
        <v>0</v>
      </c>
    </row>
    <row r="13" spans="1:19" x14ac:dyDescent="0.2">
      <c r="A13" s="24" t="s">
        <v>89</v>
      </c>
      <c r="B13" s="168">
        <v>0</v>
      </c>
      <c r="C13" s="55">
        <f t="shared" ref="C13:C16" si="9">B13/(264.1*0.7)</f>
        <v>0</v>
      </c>
      <c r="D13" s="58">
        <v>75</v>
      </c>
      <c r="E13" s="58">
        <f t="shared" si="2"/>
        <v>0</v>
      </c>
      <c r="F13" s="10" t="s">
        <v>88</v>
      </c>
      <c r="G13" s="56">
        <v>65</v>
      </c>
      <c r="H13" s="56">
        <v>55</v>
      </c>
      <c r="I13" s="56"/>
      <c r="J13" s="5">
        <f>15/16</f>
        <v>0.9375</v>
      </c>
      <c r="K13" s="51">
        <f t="shared" si="3"/>
        <v>6.25E-2</v>
      </c>
      <c r="L13" s="51">
        <f t="shared" si="4"/>
        <v>0</v>
      </c>
      <c r="M13" s="51">
        <f t="shared" si="5"/>
        <v>0</v>
      </c>
      <c r="N13" s="56"/>
      <c r="O13" s="66">
        <f t="shared" ref="O13:O16" si="10">C13*G13</f>
        <v>0</v>
      </c>
      <c r="P13" s="8">
        <f t="shared" si="6"/>
        <v>0</v>
      </c>
      <c r="R13" s="2">
        <f t="shared" si="7"/>
        <v>0</v>
      </c>
      <c r="S13" s="2">
        <f t="shared" si="8"/>
        <v>0</v>
      </c>
    </row>
    <row r="14" spans="1:19" x14ac:dyDescent="0.2">
      <c r="A14" s="24" t="s">
        <v>95</v>
      </c>
      <c r="B14" s="168">
        <v>0</v>
      </c>
      <c r="C14" s="55">
        <f t="shared" si="9"/>
        <v>0</v>
      </c>
      <c r="D14" s="58">
        <v>88</v>
      </c>
      <c r="E14" s="58">
        <f t="shared" si="2"/>
        <v>0</v>
      </c>
      <c r="F14" s="10" t="s">
        <v>96</v>
      </c>
      <c r="G14" s="56">
        <v>438</v>
      </c>
      <c r="H14" s="56">
        <v>63</v>
      </c>
      <c r="I14" s="56"/>
      <c r="J14" s="5">
        <f>8/9</f>
        <v>0.88888888888888884</v>
      </c>
      <c r="K14" s="51">
        <f t="shared" si="3"/>
        <v>0.11111111111111116</v>
      </c>
      <c r="L14" s="51">
        <f t="shared" si="4"/>
        <v>0</v>
      </c>
      <c r="M14" s="51">
        <f t="shared" si="5"/>
        <v>0</v>
      </c>
      <c r="N14" s="56"/>
      <c r="O14" s="66">
        <f t="shared" si="10"/>
        <v>0</v>
      </c>
      <c r="P14" s="8">
        <f t="shared" si="6"/>
        <v>0</v>
      </c>
      <c r="R14" s="2">
        <f t="shared" si="7"/>
        <v>0</v>
      </c>
      <c r="S14" s="2">
        <f t="shared" si="8"/>
        <v>0</v>
      </c>
    </row>
    <row r="15" spans="1:19" x14ac:dyDescent="0.2">
      <c r="A15" s="24" t="s">
        <v>97</v>
      </c>
      <c r="B15" s="168">
        <v>0</v>
      </c>
      <c r="C15" s="55">
        <f t="shared" si="9"/>
        <v>0</v>
      </c>
      <c r="D15" s="58">
        <v>91</v>
      </c>
      <c r="E15" s="58">
        <f t="shared" si="2"/>
        <v>0</v>
      </c>
      <c r="F15" s="10" t="s">
        <v>96</v>
      </c>
      <c r="G15" s="56">
        <v>533</v>
      </c>
      <c r="H15" s="56">
        <v>63</v>
      </c>
      <c r="I15" s="56"/>
      <c r="J15" s="5">
        <f>8/9</f>
        <v>0.88888888888888884</v>
      </c>
      <c r="K15" s="51">
        <f t="shared" si="3"/>
        <v>0.11111111111111116</v>
      </c>
      <c r="L15" s="51">
        <f t="shared" si="4"/>
        <v>0</v>
      </c>
      <c r="M15" s="51">
        <f t="shared" si="5"/>
        <v>0</v>
      </c>
      <c r="N15" s="56"/>
      <c r="O15" s="66">
        <f t="shared" si="10"/>
        <v>0</v>
      </c>
      <c r="P15" s="8">
        <f t="shared" si="6"/>
        <v>0</v>
      </c>
      <c r="R15" s="2">
        <f t="shared" si="7"/>
        <v>0</v>
      </c>
      <c r="S15" s="2">
        <f t="shared" si="8"/>
        <v>0</v>
      </c>
    </row>
    <row r="16" spans="1:19" ht="17" thickBot="1" x14ac:dyDescent="0.25">
      <c r="A16" s="24" t="s">
        <v>98</v>
      </c>
      <c r="B16" s="169">
        <v>0</v>
      </c>
      <c r="C16" s="55">
        <f t="shared" si="9"/>
        <v>0</v>
      </c>
      <c r="D16" s="58">
        <v>22</v>
      </c>
      <c r="E16" s="58">
        <f t="shared" si="2"/>
        <v>0</v>
      </c>
      <c r="F16" s="10" t="s">
        <v>0</v>
      </c>
      <c r="G16" s="56">
        <v>112</v>
      </c>
      <c r="H16" s="56">
        <v>51</v>
      </c>
      <c r="I16" s="56"/>
      <c r="J16" s="5">
        <f>20/21</f>
        <v>0.95238095238095233</v>
      </c>
      <c r="K16" s="51">
        <f t="shared" si="3"/>
        <v>4.7619047619047672E-2</v>
      </c>
      <c r="L16" s="51">
        <f t="shared" si="4"/>
        <v>0</v>
      </c>
      <c r="M16" s="51">
        <f t="shared" si="5"/>
        <v>0</v>
      </c>
      <c r="N16" s="56"/>
      <c r="O16" s="66">
        <f t="shared" si="10"/>
        <v>0</v>
      </c>
      <c r="P16" s="8">
        <f t="shared" si="6"/>
        <v>0</v>
      </c>
      <c r="R16" s="2">
        <f t="shared" si="7"/>
        <v>0</v>
      </c>
      <c r="S16" s="2">
        <f t="shared" si="8"/>
        <v>0</v>
      </c>
    </row>
    <row r="17" spans="1:22" x14ac:dyDescent="0.2">
      <c r="A17" s="24"/>
      <c r="B17" s="170"/>
      <c r="C17" s="55"/>
      <c r="D17" s="58"/>
      <c r="E17" s="58"/>
      <c r="G17" s="56"/>
      <c r="H17" s="56"/>
      <c r="I17" s="56"/>
      <c r="K17" s="51"/>
      <c r="L17" s="51"/>
      <c r="M17" s="51"/>
      <c r="N17" s="56"/>
      <c r="O17" s="66" t="s">
        <v>6</v>
      </c>
      <c r="R17" s="2" t="s">
        <v>6</v>
      </c>
      <c r="S17" s="2" t="s">
        <v>6</v>
      </c>
    </row>
    <row r="18" spans="1:22" ht="17" thickBot="1" x14ac:dyDescent="0.25">
      <c r="A18" s="189" t="s">
        <v>56</v>
      </c>
      <c r="B18" s="170"/>
      <c r="C18" s="55"/>
      <c r="D18" s="58"/>
      <c r="E18" s="58"/>
      <c r="G18" s="56"/>
      <c r="H18" s="56"/>
      <c r="I18" s="56"/>
      <c r="K18" s="51"/>
      <c r="L18" s="51"/>
      <c r="M18" s="51"/>
      <c r="N18" s="56"/>
      <c r="O18" s="66" t="s">
        <v>6</v>
      </c>
      <c r="R18" s="2" t="s">
        <v>6</v>
      </c>
      <c r="S18" s="2" t="s">
        <v>6</v>
      </c>
    </row>
    <row r="19" spans="1:22" x14ac:dyDescent="0.2">
      <c r="A19" s="24" t="s">
        <v>49</v>
      </c>
      <c r="B19" s="171">
        <v>0</v>
      </c>
      <c r="C19" s="55">
        <f>B19/(264.1*0.7)</f>
        <v>0</v>
      </c>
      <c r="D19" s="58">
        <v>18</v>
      </c>
      <c r="E19" s="58">
        <f>B19*(D19/100)</f>
        <v>0</v>
      </c>
      <c r="F19" s="10" t="s">
        <v>50</v>
      </c>
      <c r="G19" s="56">
        <v>126</v>
      </c>
      <c r="H19" s="56">
        <v>61</v>
      </c>
      <c r="I19" s="56"/>
      <c r="J19" s="5">
        <f>18/19</f>
        <v>0.94736842105263153</v>
      </c>
      <c r="K19" s="51">
        <f>1-J19</f>
        <v>5.2631578947368474E-2</v>
      </c>
      <c r="L19" s="51">
        <f>C19*J19</f>
        <v>0</v>
      </c>
      <c r="M19" s="51">
        <f>C19*K19</f>
        <v>0</v>
      </c>
      <c r="N19" s="56"/>
      <c r="O19" s="66">
        <f>C19*G19</f>
        <v>0</v>
      </c>
      <c r="P19" s="8">
        <f t="shared" si="6"/>
        <v>0</v>
      </c>
      <c r="R19" s="2">
        <f t="shared" si="7"/>
        <v>0</v>
      </c>
      <c r="S19" s="2">
        <f t="shared" si="8"/>
        <v>0</v>
      </c>
    </row>
    <row r="20" spans="1:22" x14ac:dyDescent="0.2">
      <c r="A20" s="24" t="s">
        <v>91</v>
      </c>
      <c r="B20" s="172">
        <v>0</v>
      </c>
      <c r="C20" s="55">
        <f t="shared" si="1"/>
        <v>0</v>
      </c>
      <c r="D20" s="58">
        <v>10</v>
      </c>
      <c r="E20" s="58">
        <f t="shared" si="2"/>
        <v>0</v>
      </c>
      <c r="F20" s="50" t="s">
        <v>43</v>
      </c>
      <c r="G20" s="56">
        <v>80</v>
      </c>
      <c r="H20" s="56">
        <v>62</v>
      </c>
      <c r="I20" s="56"/>
      <c r="J20" s="51">
        <f>3.25/4.25</f>
        <v>0.76470588235294112</v>
      </c>
      <c r="K20" s="51">
        <f t="shared" si="3"/>
        <v>0.23529411764705888</v>
      </c>
      <c r="L20" s="51">
        <f>C20*J20</f>
        <v>0</v>
      </c>
      <c r="M20" s="51">
        <f>C20*K20</f>
        <v>0</v>
      </c>
      <c r="N20" s="56"/>
      <c r="O20" s="66">
        <f>C20*G20</f>
        <v>0</v>
      </c>
      <c r="P20" s="8">
        <f t="shared" si="6"/>
        <v>0</v>
      </c>
      <c r="R20" s="2">
        <f t="shared" si="7"/>
        <v>0</v>
      </c>
      <c r="S20" s="2">
        <f t="shared" si="8"/>
        <v>0</v>
      </c>
    </row>
    <row r="21" spans="1:22" x14ac:dyDescent="0.2">
      <c r="A21" s="24" t="s">
        <v>92</v>
      </c>
      <c r="B21" s="172">
        <v>0</v>
      </c>
      <c r="C21" s="55">
        <f t="shared" si="1"/>
        <v>0</v>
      </c>
      <c r="D21" s="58">
        <v>13.5</v>
      </c>
      <c r="E21" s="58">
        <f t="shared" si="2"/>
        <v>0</v>
      </c>
      <c r="F21" s="50" t="s">
        <v>94</v>
      </c>
      <c r="G21" s="56">
        <v>115</v>
      </c>
      <c r="H21" s="56">
        <v>62</v>
      </c>
      <c r="I21" s="56"/>
      <c r="J21" s="51">
        <f>27/28</f>
        <v>0.9642857142857143</v>
      </c>
      <c r="K21" s="51">
        <f t="shared" si="3"/>
        <v>3.5714285714285698E-2</v>
      </c>
      <c r="L21" s="51">
        <f t="shared" ref="L21:L22" si="11">C21*J21</f>
        <v>0</v>
      </c>
      <c r="M21" s="51">
        <f t="shared" ref="M21:M22" si="12">C21*K21</f>
        <v>0</v>
      </c>
      <c r="N21" s="56"/>
      <c r="O21" s="66">
        <f t="shared" ref="O21:O22" si="13">C21*G21</f>
        <v>0</v>
      </c>
      <c r="P21" s="8">
        <f t="shared" si="6"/>
        <v>0</v>
      </c>
      <c r="R21" s="2">
        <f t="shared" si="7"/>
        <v>0</v>
      </c>
      <c r="S21" s="2">
        <f t="shared" si="8"/>
        <v>0</v>
      </c>
    </row>
    <row r="22" spans="1:22" x14ac:dyDescent="0.2">
      <c r="A22" s="24" t="s">
        <v>93</v>
      </c>
      <c r="B22" s="172">
        <v>0</v>
      </c>
      <c r="C22" s="55">
        <f t="shared" si="1"/>
        <v>0</v>
      </c>
      <c r="D22" s="58">
        <v>5</v>
      </c>
      <c r="E22" s="58">
        <f t="shared" si="2"/>
        <v>0</v>
      </c>
      <c r="F22" s="50" t="s">
        <v>94</v>
      </c>
      <c r="G22" s="56">
        <v>35</v>
      </c>
      <c r="H22" s="56">
        <v>62</v>
      </c>
      <c r="I22" s="56"/>
      <c r="J22" s="51">
        <f>27/28</f>
        <v>0.9642857142857143</v>
      </c>
      <c r="K22" s="51">
        <f t="shared" si="3"/>
        <v>3.5714285714285698E-2</v>
      </c>
      <c r="L22" s="51">
        <f t="shared" si="11"/>
        <v>0</v>
      </c>
      <c r="M22" s="51">
        <f t="shared" si="12"/>
        <v>0</v>
      </c>
      <c r="N22" s="56"/>
      <c r="O22" s="66">
        <f t="shared" si="13"/>
        <v>0</v>
      </c>
      <c r="P22" s="8">
        <f t="shared" si="6"/>
        <v>0</v>
      </c>
      <c r="R22" s="2">
        <f t="shared" si="7"/>
        <v>0</v>
      </c>
      <c r="S22" s="2">
        <f t="shared" si="8"/>
        <v>0</v>
      </c>
    </row>
    <row r="23" spans="1:22" x14ac:dyDescent="0.2">
      <c r="A23" s="24" t="s">
        <v>48</v>
      </c>
      <c r="B23" s="172">
        <v>0</v>
      </c>
      <c r="C23" s="55">
        <f t="shared" si="1"/>
        <v>0</v>
      </c>
      <c r="D23" s="58">
        <v>13</v>
      </c>
      <c r="E23" s="58">
        <f t="shared" si="2"/>
        <v>0</v>
      </c>
      <c r="F23" s="50" t="s">
        <v>1</v>
      </c>
      <c r="G23" s="56">
        <v>98</v>
      </c>
      <c r="H23" s="56">
        <v>55</v>
      </c>
      <c r="I23" s="56"/>
      <c r="J23" s="51">
        <f>100/101</f>
        <v>0.99009900990099009</v>
      </c>
      <c r="K23" s="51">
        <f t="shared" si="3"/>
        <v>9.9009900990099098E-3</v>
      </c>
      <c r="L23" s="51">
        <f t="shared" si="4"/>
        <v>0</v>
      </c>
      <c r="M23" s="51">
        <f t="shared" si="5"/>
        <v>0</v>
      </c>
      <c r="N23" s="56"/>
      <c r="O23" s="66">
        <f>C23*G23</f>
        <v>0</v>
      </c>
      <c r="P23" s="8">
        <f t="shared" si="6"/>
        <v>0</v>
      </c>
      <c r="R23" s="2">
        <f t="shared" si="7"/>
        <v>0</v>
      </c>
      <c r="S23" s="2">
        <f t="shared" si="8"/>
        <v>0</v>
      </c>
    </row>
    <row r="24" spans="1:22" x14ac:dyDescent="0.2">
      <c r="A24" s="24" t="s">
        <v>105</v>
      </c>
      <c r="B24" s="172">
        <v>0</v>
      </c>
      <c r="C24" s="55">
        <f t="shared" si="1"/>
        <v>0</v>
      </c>
      <c r="D24" s="58">
        <v>0</v>
      </c>
      <c r="E24" s="58">
        <f t="shared" si="2"/>
        <v>0</v>
      </c>
      <c r="F24" s="50" t="s">
        <v>1</v>
      </c>
      <c r="G24" s="56">
        <v>420</v>
      </c>
      <c r="H24" s="56">
        <v>50</v>
      </c>
      <c r="I24" s="56"/>
      <c r="J24" s="51">
        <f>100/101</f>
        <v>0.99009900990099009</v>
      </c>
      <c r="K24" s="51">
        <f t="shared" si="3"/>
        <v>9.9009900990099098E-3</v>
      </c>
      <c r="L24" s="51">
        <f t="shared" si="4"/>
        <v>0</v>
      </c>
      <c r="M24" s="51">
        <f t="shared" si="5"/>
        <v>0</v>
      </c>
      <c r="N24" s="56"/>
      <c r="O24" s="66">
        <f>C24*G24</f>
        <v>0</v>
      </c>
      <c r="P24" s="8">
        <f t="shared" si="6"/>
        <v>0</v>
      </c>
      <c r="R24" s="2">
        <f t="shared" si="7"/>
        <v>0</v>
      </c>
      <c r="S24" s="2">
        <f t="shared" si="8"/>
        <v>0</v>
      </c>
    </row>
    <row r="25" spans="1:22" x14ac:dyDescent="0.2">
      <c r="A25" s="24" t="s">
        <v>90</v>
      </c>
      <c r="B25" s="172">
        <v>0</v>
      </c>
      <c r="C25" s="55">
        <f t="shared" si="1"/>
        <v>0</v>
      </c>
      <c r="D25" s="58">
        <v>0</v>
      </c>
      <c r="E25" s="58">
        <f t="shared" si="2"/>
        <v>0</v>
      </c>
      <c r="F25" s="50" t="s">
        <v>1</v>
      </c>
      <c r="G25" s="56">
        <v>874</v>
      </c>
      <c r="H25" s="56">
        <v>68</v>
      </c>
      <c r="I25" s="56"/>
      <c r="J25" s="51">
        <f>100/101</f>
        <v>0.99009900990099009</v>
      </c>
      <c r="K25" s="51">
        <f t="shared" si="3"/>
        <v>9.9009900990099098E-3</v>
      </c>
      <c r="L25" s="51">
        <f t="shared" ref="L25" si="14">C25*J25</f>
        <v>0</v>
      </c>
      <c r="M25" s="51">
        <f t="shared" ref="M25" si="15">C25*K25</f>
        <v>0</v>
      </c>
      <c r="N25" s="56"/>
      <c r="O25" s="66">
        <f>C25*G25</f>
        <v>0</v>
      </c>
      <c r="P25" s="8">
        <f t="shared" si="6"/>
        <v>0</v>
      </c>
      <c r="R25" s="2">
        <f t="shared" si="7"/>
        <v>0</v>
      </c>
      <c r="S25" s="2">
        <f t="shared" si="8"/>
        <v>0</v>
      </c>
    </row>
    <row r="26" spans="1:22" ht="17" thickBot="1" x14ac:dyDescent="0.25">
      <c r="A26" s="24" t="s">
        <v>101</v>
      </c>
      <c r="B26" s="173">
        <v>0</v>
      </c>
      <c r="C26" s="55">
        <f t="shared" si="1"/>
        <v>0</v>
      </c>
      <c r="D26" s="58">
        <v>100</v>
      </c>
      <c r="E26" s="58">
        <f t="shared" si="2"/>
        <v>0</v>
      </c>
      <c r="F26" s="50" t="s">
        <v>99</v>
      </c>
      <c r="G26" s="56">
        <v>120</v>
      </c>
      <c r="H26" s="56">
        <v>55</v>
      </c>
      <c r="I26" s="56"/>
      <c r="J26" s="51">
        <f>350/351</f>
        <v>0.9971509971509972</v>
      </c>
      <c r="K26" s="51">
        <f>1/350</f>
        <v>2.8571428571428571E-3</v>
      </c>
      <c r="L26" s="51">
        <f t="shared" ref="L26" si="16">C26*J26</f>
        <v>0</v>
      </c>
      <c r="M26" s="51">
        <f t="shared" ref="M26" si="17">C26*K26</f>
        <v>0</v>
      </c>
      <c r="N26" s="56"/>
      <c r="O26" s="66">
        <f>C26*G26</f>
        <v>0</v>
      </c>
      <c r="P26" s="8">
        <f t="shared" si="6"/>
        <v>0</v>
      </c>
      <c r="R26" s="2">
        <f t="shared" si="7"/>
        <v>0</v>
      </c>
      <c r="S26" s="2">
        <f t="shared" si="8"/>
        <v>0</v>
      </c>
    </row>
    <row r="27" spans="1:22" ht="17" thickBot="1" x14ac:dyDescent="0.25">
      <c r="A27" s="24"/>
      <c r="B27" s="57"/>
      <c r="C27" s="56"/>
      <c r="D27" s="56"/>
      <c r="E27" s="56"/>
      <c r="F27" s="50"/>
      <c r="G27" s="56"/>
      <c r="H27" s="56"/>
      <c r="I27" s="56"/>
      <c r="J27" s="51"/>
      <c r="K27" s="51"/>
      <c r="L27" s="51"/>
      <c r="M27" s="51"/>
      <c r="N27" s="56"/>
      <c r="O27" s="58"/>
      <c r="P27" s="8" t="s">
        <v>6</v>
      </c>
    </row>
    <row r="28" spans="1:22" x14ac:dyDescent="0.2">
      <c r="A28" s="156" t="s">
        <v>60</v>
      </c>
      <c r="B28" s="178">
        <f>SUM(B7:B26)</f>
        <v>0</v>
      </c>
      <c r="C28" s="179">
        <f>SUM(C7:C26)</f>
        <v>0</v>
      </c>
      <c r="D28" s="180"/>
      <c r="E28" s="181">
        <f>SUM(E7:E26)</f>
        <v>0</v>
      </c>
      <c r="F28" s="157"/>
      <c r="G28" s="182" t="s">
        <v>6</v>
      </c>
      <c r="H28" s="182"/>
      <c r="I28" s="182"/>
      <c r="J28" s="157"/>
      <c r="K28" s="157"/>
      <c r="L28" s="180">
        <f>SUM(L7:L26)</f>
        <v>0</v>
      </c>
      <c r="M28" s="180">
        <f>SUM(M7:M26)</f>
        <v>0</v>
      </c>
      <c r="N28" s="178"/>
      <c r="O28" s="178">
        <f>SUM(O7:O26)</f>
        <v>0</v>
      </c>
      <c r="P28" s="158">
        <f>O28*2</f>
        <v>0</v>
      </c>
      <c r="Q28" s="158"/>
      <c r="R28" s="190">
        <f>SUM(R7:R26)</f>
        <v>0</v>
      </c>
      <c r="S28" s="191">
        <f>SUM(S7:S26)</f>
        <v>0</v>
      </c>
    </row>
    <row r="29" spans="1:22" x14ac:dyDescent="0.2">
      <c r="A29" s="159"/>
      <c r="B29" s="56"/>
      <c r="C29" s="56"/>
      <c r="D29" s="56"/>
      <c r="E29" s="56"/>
      <c r="F29" s="50"/>
      <c r="G29" s="56"/>
      <c r="H29" s="56"/>
      <c r="I29" s="56"/>
      <c r="J29" s="51"/>
      <c r="K29" s="51"/>
      <c r="L29" s="51"/>
      <c r="M29" s="51"/>
      <c r="N29" s="56"/>
      <c r="O29" s="58"/>
      <c r="P29" s="58"/>
      <c r="Q29" s="58"/>
      <c r="R29" s="56"/>
      <c r="S29" s="183"/>
    </row>
    <row r="30" spans="1:22" x14ac:dyDescent="0.2">
      <c r="A30" s="160" t="s">
        <v>59</v>
      </c>
      <c r="B30" s="177">
        <f>(O28/4400)*100</f>
        <v>0</v>
      </c>
      <c r="C30" s="56"/>
      <c r="D30" s="56"/>
      <c r="E30" s="56"/>
      <c r="F30" s="50"/>
      <c r="G30" s="56"/>
      <c r="H30" s="56"/>
      <c r="I30" s="56"/>
      <c r="J30" s="51"/>
      <c r="K30" s="51"/>
      <c r="L30" s="51"/>
      <c r="M30" s="51"/>
      <c r="N30" s="56"/>
      <c r="O30" s="175">
        <v>4400</v>
      </c>
      <c r="P30" s="175">
        <v>8800</v>
      </c>
      <c r="Q30" s="175" t="s">
        <v>6</v>
      </c>
      <c r="R30" s="175">
        <v>8800</v>
      </c>
      <c r="S30" s="184">
        <v>8800</v>
      </c>
    </row>
    <row r="31" spans="1:22" x14ac:dyDescent="0.2">
      <c r="A31" s="159"/>
      <c r="B31" s="56"/>
      <c r="C31" s="56"/>
      <c r="D31" s="56"/>
      <c r="E31" s="56"/>
      <c r="F31" s="50"/>
      <c r="G31" s="56"/>
      <c r="H31" s="56"/>
      <c r="I31" s="56"/>
      <c r="J31" s="51"/>
      <c r="K31" s="51"/>
      <c r="L31" s="51"/>
      <c r="M31" s="51"/>
      <c r="N31" s="56"/>
      <c r="O31" s="58"/>
      <c r="P31" s="58"/>
      <c r="Q31" s="58"/>
      <c r="R31" s="56"/>
      <c r="S31" s="183"/>
      <c r="V31" s="28"/>
    </row>
    <row r="32" spans="1:22" x14ac:dyDescent="0.2">
      <c r="A32" s="160" t="s">
        <v>34</v>
      </c>
      <c r="B32" s="66" t="e">
        <f>(SUM(B7:B11)/B28)*100</f>
        <v>#DIV/0!</v>
      </c>
      <c r="C32" s="56"/>
      <c r="D32" s="56"/>
      <c r="E32" s="56"/>
      <c r="F32" s="50"/>
      <c r="G32" s="56"/>
      <c r="H32" s="56"/>
      <c r="I32" s="56"/>
      <c r="J32" s="51"/>
      <c r="K32" s="51"/>
      <c r="L32" s="51"/>
      <c r="M32" s="51"/>
      <c r="N32" s="56"/>
      <c r="O32" s="58"/>
      <c r="P32" s="58"/>
      <c r="Q32" s="58"/>
      <c r="R32" s="56"/>
      <c r="S32" s="183"/>
    </row>
    <row r="33" spans="1:19" x14ac:dyDescent="0.2">
      <c r="A33" s="160"/>
      <c r="B33" s="66"/>
      <c r="C33" s="56"/>
      <c r="D33" s="56"/>
      <c r="E33" s="56"/>
      <c r="F33" s="50"/>
      <c r="G33" s="56"/>
      <c r="H33" s="56"/>
      <c r="I33" s="56"/>
      <c r="J33" s="51"/>
      <c r="K33" s="51"/>
      <c r="L33" s="51"/>
      <c r="M33" s="51"/>
      <c r="N33" s="56"/>
      <c r="O33" s="58"/>
      <c r="P33" s="58"/>
      <c r="Q33" s="58"/>
      <c r="R33" s="56"/>
      <c r="S33" s="183"/>
    </row>
    <row r="34" spans="1:19" x14ac:dyDescent="0.2">
      <c r="A34" s="160" t="s">
        <v>100</v>
      </c>
      <c r="B34" s="58" t="e">
        <f>(E28/B28)*100</f>
        <v>#DIV/0!</v>
      </c>
      <c r="C34" s="56"/>
      <c r="D34" s="56"/>
      <c r="E34" s="56"/>
      <c r="F34" s="50"/>
      <c r="G34" s="56"/>
      <c r="H34" s="56"/>
      <c r="I34" s="56"/>
      <c r="J34" s="51"/>
      <c r="K34" s="51"/>
      <c r="L34" s="51"/>
      <c r="M34" s="51"/>
      <c r="N34" s="56"/>
      <c r="O34" s="58"/>
      <c r="P34" s="58"/>
      <c r="Q34" s="58"/>
      <c r="R34" s="56"/>
      <c r="S34" s="183"/>
    </row>
    <row r="35" spans="1:19" x14ac:dyDescent="0.2">
      <c r="A35" s="159"/>
      <c r="B35" s="56"/>
      <c r="C35" s="56"/>
      <c r="D35" s="56"/>
      <c r="E35" s="56"/>
      <c r="F35" s="50"/>
      <c r="G35" s="56"/>
      <c r="H35" s="56"/>
      <c r="I35" s="56"/>
      <c r="J35" s="51"/>
      <c r="K35" s="51"/>
      <c r="L35" s="51"/>
      <c r="M35" s="51"/>
      <c r="N35" s="56"/>
      <c r="O35" s="58"/>
      <c r="P35" s="58"/>
      <c r="Q35" s="58"/>
      <c r="R35" s="56"/>
      <c r="S35" s="183"/>
    </row>
    <row r="36" spans="1:19" ht="17" thickBot="1" x14ac:dyDescent="0.25">
      <c r="A36" s="165" t="s">
        <v>46</v>
      </c>
      <c r="B36" s="164" t="e">
        <f>L28/M28</f>
        <v>#DIV/0!</v>
      </c>
      <c r="C36" s="161"/>
      <c r="D36" s="161"/>
      <c r="E36" s="161"/>
      <c r="F36" s="162"/>
      <c r="G36" s="161"/>
      <c r="H36" s="161"/>
      <c r="I36" s="161"/>
      <c r="J36" s="163"/>
      <c r="K36" s="163"/>
      <c r="L36" s="163"/>
      <c r="M36" s="163"/>
      <c r="N36" s="161"/>
      <c r="O36" s="164"/>
      <c r="P36" s="164"/>
      <c r="Q36" s="164"/>
      <c r="R36" s="161"/>
      <c r="S36" s="185"/>
    </row>
    <row r="37" spans="1:19" x14ac:dyDescent="0.2">
      <c r="G37" s="56"/>
      <c r="H37" s="56"/>
    </row>
    <row r="38" spans="1:19" x14ac:dyDescent="0.2">
      <c r="G38" s="56"/>
      <c r="H38" s="56"/>
    </row>
    <row r="39" spans="1:19" x14ac:dyDescent="0.2">
      <c r="G39" s="56"/>
      <c r="H39" s="56"/>
    </row>
    <row r="40" spans="1:19" x14ac:dyDescent="0.2">
      <c r="G40" s="56"/>
      <c r="H40" s="56"/>
    </row>
  </sheetData>
  <mergeCells count="2">
    <mergeCell ref="J3:S3"/>
    <mergeCell ref="B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8B16-7E24-2E45-B31B-48EF0D9C718C}">
  <dimension ref="A1:P30"/>
  <sheetViews>
    <sheetView workbookViewId="0">
      <selection activeCell="K39" sqref="K39"/>
    </sheetView>
  </sheetViews>
  <sheetFormatPr baseColWidth="10" defaultRowHeight="16" x14ac:dyDescent="0.2"/>
  <cols>
    <col min="1" max="1" width="7.83203125" customWidth="1"/>
    <col min="2" max="2" width="14.1640625" customWidth="1"/>
    <col min="3" max="3" width="16.33203125" customWidth="1"/>
    <col min="4" max="5" width="9.5" style="14" customWidth="1"/>
    <col min="6" max="6" width="3.1640625" style="14" customWidth="1"/>
    <col min="7" max="7" width="15.33203125" style="14" customWidth="1"/>
    <col min="8" max="8" width="9.33203125" style="2" customWidth="1"/>
    <col min="9" max="9" width="7.5" style="2" customWidth="1"/>
    <col min="10" max="10" width="10.1640625" style="2" customWidth="1"/>
    <col min="11" max="11" width="7.6640625" style="2" customWidth="1"/>
    <col min="12" max="12" width="3.33203125" customWidth="1"/>
    <col min="15" max="15" width="13.6640625" customWidth="1"/>
  </cols>
  <sheetData>
    <row r="1" spans="1:11" ht="19" x14ac:dyDescent="0.25">
      <c r="A1" s="68" t="s">
        <v>61</v>
      </c>
    </row>
    <row r="3" spans="1:11" ht="17" thickBot="1" x14ac:dyDescent="0.25"/>
    <row r="4" spans="1:11" s="1" customFormat="1" x14ac:dyDescent="0.2">
      <c r="A4" s="69" t="s">
        <v>62</v>
      </c>
      <c r="B4" s="70"/>
      <c r="C4" s="71"/>
      <c r="D4" s="72" t="s">
        <v>2</v>
      </c>
      <c r="E4" s="73" t="s">
        <v>32</v>
      </c>
      <c r="F4" s="13"/>
      <c r="G4" s="74"/>
      <c r="H4" s="75" t="s">
        <v>2</v>
      </c>
      <c r="I4" s="76" t="s">
        <v>63</v>
      </c>
      <c r="J4" s="75" t="s">
        <v>32</v>
      </c>
      <c r="K4" s="77" t="s">
        <v>63</v>
      </c>
    </row>
    <row r="5" spans="1:11" x14ac:dyDescent="0.2">
      <c r="A5" s="78" t="s">
        <v>64</v>
      </c>
      <c r="B5" s="79" t="s">
        <v>65</v>
      </c>
      <c r="C5" s="80" t="s">
        <v>17</v>
      </c>
      <c r="D5" s="13" t="s">
        <v>64</v>
      </c>
      <c r="E5" s="81" t="s">
        <v>64</v>
      </c>
      <c r="F5" s="13"/>
      <c r="G5" s="80" t="s">
        <v>17</v>
      </c>
      <c r="H5" s="3" t="s">
        <v>66</v>
      </c>
      <c r="I5" s="82" t="s">
        <v>67</v>
      </c>
      <c r="J5" s="3" t="s">
        <v>66</v>
      </c>
      <c r="K5" s="83" t="s">
        <v>68</v>
      </c>
    </row>
    <row r="6" spans="1:11" x14ac:dyDescent="0.2">
      <c r="A6" s="84">
        <f>D6/(264.1/0.9)</f>
        <v>167.93638773191972</v>
      </c>
      <c r="B6" s="85">
        <v>20</v>
      </c>
      <c r="C6" s="86" t="s">
        <v>69</v>
      </c>
      <c r="D6" s="87">
        <v>49280</v>
      </c>
      <c r="E6" s="88">
        <f>A6*B6</f>
        <v>3358.7277546383943</v>
      </c>
      <c r="F6" s="89"/>
      <c r="G6" s="90" t="s">
        <v>69</v>
      </c>
      <c r="H6" s="91">
        <f>D6/7</f>
        <v>7040</v>
      </c>
      <c r="I6" s="92">
        <f>(H6*100)/H18</f>
        <v>43.564356435643568</v>
      </c>
      <c r="J6" s="91">
        <f>E6/7</f>
        <v>479.81825066262775</v>
      </c>
      <c r="K6" s="93">
        <f>(J6*100)/J18</f>
        <v>11.919312446587226</v>
      </c>
    </row>
    <row r="7" spans="1:11" x14ac:dyDescent="0.2">
      <c r="A7" s="84">
        <f t="shared" ref="A7:A16" si="0">D7/(264.1/0.9)</f>
        <v>0</v>
      </c>
      <c r="B7" s="85">
        <v>400</v>
      </c>
      <c r="C7" s="86" t="s">
        <v>70</v>
      </c>
      <c r="D7" s="87">
        <v>0</v>
      </c>
      <c r="E7" s="88">
        <f t="shared" ref="E7:E13" si="1">A7*B7</f>
        <v>0</v>
      </c>
      <c r="F7" s="89"/>
      <c r="G7" s="90" t="s">
        <v>70</v>
      </c>
      <c r="H7" s="91">
        <f t="shared" ref="H7:H16" si="2">D7/7</f>
        <v>0</v>
      </c>
      <c r="I7" s="92">
        <f>(H7*100)/H18</f>
        <v>0</v>
      </c>
      <c r="J7" s="91">
        <f t="shared" ref="J7:J16" si="3">E7/7</f>
        <v>0</v>
      </c>
      <c r="K7" s="93">
        <f>(J7*100)/J18</f>
        <v>0</v>
      </c>
    </row>
    <row r="8" spans="1:11" x14ac:dyDescent="0.2">
      <c r="A8" s="84">
        <f t="shared" si="0"/>
        <v>0</v>
      </c>
      <c r="B8" s="85">
        <v>185</v>
      </c>
      <c r="C8" s="86" t="s">
        <v>71</v>
      </c>
      <c r="D8" s="87">
        <v>0</v>
      </c>
      <c r="E8" s="88">
        <f t="shared" si="1"/>
        <v>0</v>
      </c>
      <c r="F8" s="89"/>
      <c r="G8" s="90" t="s">
        <v>71</v>
      </c>
      <c r="H8" s="91">
        <f t="shared" si="2"/>
        <v>0</v>
      </c>
      <c r="I8" s="92">
        <f>(H8*100)/H18</f>
        <v>0</v>
      </c>
      <c r="J8" s="91">
        <f t="shared" si="3"/>
        <v>0</v>
      </c>
      <c r="K8" s="93">
        <f>(J9*100)/J18</f>
        <v>0</v>
      </c>
    </row>
    <row r="9" spans="1:11" x14ac:dyDescent="0.2">
      <c r="A9" s="84">
        <f>D9/264.1</f>
        <v>162.21128360469518</v>
      </c>
      <c r="B9" s="85">
        <v>0</v>
      </c>
      <c r="C9" s="86" t="s">
        <v>26</v>
      </c>
      <c r="D9" s="87">
        <v>42840</v>
      </c>
      <c r="E9" s="88">
        <f>A9*B9</f>
        <v>0</v>
      </c>
      <c r="F9" s="89"/>
      <c r="G9" s="90" t="s">
        <v>26</v>
      </c>
      <c r="H9" s="91">
        <f>D9/7</f>
        <v>6120</v>
      </c>
      <c r="I9" s="92">
        <f>(H9*100)/H18</f>
        <v>37.871287128712872</v>
      </c>
      <c r="J9" s="91">
        <f>E9/7</f>
        <v>0</v>
      </c>
      <c r="K9" s="93">
        <f>(J9*100)/J18</f>
        <v>0</v>
      </c>
    </row>
    <row r="10" spans="1:11" x14ac:dyDescent="0.2">
      <c r="A10" s="84">
        <f t="shared" si="0"/>
        <v>0</v>
      </c>
      <c r="B10" s="94">
        <v>87.4</v>
      </c>
      <c r="C10" s="95" t="s">
        <v>72</v>
      </c>
      <c r="D10" s="96">
        <v>0</v>
      </c>
      <c r="E10" s="97">
        <f t="shared" si="1"/>
        <v>0</v>
      </c>
      <c r="F10" s="89"/>
      <c r="G10" s="98" t="s">
        <v>72</v>
      </c>
      <c r="H10" s="99">
        <f t="shared" si="2"/>
        <v>0</v>
      </c>
      <c r="I10" s="100">
        <f>(H10*100)/H18</f>
        <v>0</v>
      </c>
      <c r="J10" s="99">
        <f t="shared" si="3"/>
        <v>0</v>
      </c>
      <c r="K10" s="101">
        <f>(J10*100)/J18</f>
        <v>0</v>
      </c>
    </row>
    <row r="11" spans="1:11" x14ac:dyDescent="0.2">
      <c r="A11" s="84">
        <f t="shared" si="0"/>
        <v>0</v>
      </c>
      <c r="B11" s="94">
        <v>410</v>
      </c>
      <c r="C11" s="95" t="s">
        <v>73</v>
      </c>
      <c r="D11" s="96">
        <v>0</v>
      </c>
      <c r="E11" s="97">
        <f t="shared" si="1"/>
        <v>0</v>
      </c>
      <c r="F11" s="89"/>
      <c r="G11" s="98" t="s">
        <v>73</v>
      </c>
      <c r="H11" s="99">
        <f t="shared" si="2"/>
        <v>0</v>
      </c>
      <c r="I11" s="100">
        <f>(H11*100)/H18</f>
        <v>0</v>
      </c>
      <c r="J11" s="99">
        <f t="shared" si="3"/>
        <v>0</v>
      </c>
      <c r="K11" s="101">
        <f>(J11*100)/J18</f>
        <v>0</v>
      </c>
    </row>
    <row r="12" spans="1:11" x14ac:dyDescent="0.2">
      <c r="A12" s="84">
        <f t="shared" si="0"/>
        <v>10.223400227186671</v>
      </c>
      <c r="B12" s="94">
        <v>60</v>
      </c>
      <c r="C12" s="95" t="s">
        <v>74</v>
      </c>
      <c r="D12" s="96">
        <v>3000</v>
      </c>
      <c r="E12" s="97">
        <f t="shared" si="1"/>
        <v>613.40401363120031</v>
      </c>
      <c r="F12" s="89"/>
      <c r="G12" s="98" t="s">
        <v>74</v>
      </c>
      <c r="H12" s="99">
        <f t="shared" si="2"/>
        <v>428.57142857142856</v>
      </c>
      <c r="I12" s="100">
        <f>(H12*100)/H18</f>
        <v>2.6520509193776518</v>
      </c>
      <c r="J12" s="99">
        <f t="shared" si="3"/>
        <v>87.629144804457184</v>
      </c>
      <c r="K12" s="101">
        <f>(J12*100)/J18</f>
        <v>2.1768224841575701</v>
      </c>
    </row>
    <row r="13" spans="1:11" x14ac:dyDescent="0.2">
      <c r="A13" s="84">
        <f>D13/(264.1)</f>
        <v>30.291556228701246</v>
      </c>
      <c r="B13" s="94">
        <v>150</v>
      </c>
      <c r="C13" s="95" t="s">
        <v>75</v>
      </c>
      <c r="D13" s="96">
        <v>8000</v>
      </c>
      <c r="E13" s="97">
        <f t="shared" si="1"/>
        <v>4543.7334343051871</v>
      </c>
      <c r="F13" s="89"/>
      <c r="G13" s="98" t="s">
        <v>75</v>
      </c>
      <c r="H13" s="99">
        <f t="shared" si="2"/>
        <v>1142.8571428571429</v>
      </c>
      <c r="I13" s="100">
        <f>(H13*100)/H18</f>
        <v>7.0721357850070721</v>
      </c>
      <c r="J13" s="99">
        <f t="shared" si="3"/>
        <v>649.10477632931247</v>
      </c>
      <c r="K13" s="101">
        <f>(J13*100)/J18</f>
        <v>16.124610993759774</v>
      </c>
    </row>
    <row r="14" spans="1:11" x14ac:dyDescent="0.2">
      <c r="A14" s="84">
        <f>D14/(264.1)</f>
        <v>0</v>
      </c>
      <c r="B14" s="94">
        <v>50</v>
      </c>
      <c r="C14" s="95" t="s">
        <v>76</v>
      </c>
      <c r="D14" s="96">
        <v>0</v>
      </c>
      <c r="E14" s="97">
        <f>A14*B14</f>
        <v>0</v>
      </c>
      <c r="F14" s="89"/>
      <c r="G14" s="98" t="s">
        <v>76</v>
      </c>
      <c r="H14" s="99">
        <f>D14/7</f>
        <v>0</v>
      </c>
      <c r="I14" s="100">
        <f>(H14*100)/H18</f>
        <v>0</v>
      </c>
      <c r="J14" s="99">
        <f t="shared" si="3"/>
        <v>0</v>
      </c>
      <c r="K14" s="101">
        <f>(J14*100)/J18</f>
        <v>0</v>
      </c>
    </row>
    <row r="15" spans="1:11" x14ac:dyDescent="0.2">
      <c r="A15" s="102">
        <f t="shared" si="0"/>
        <v>34.078000757288905</v>
      </c>
      <c r="B15" s="103">
        <v>577</v>
      </c>
      <c r="C15" s="104" t="s">
        <v>10</v>
      </c>
      <c r="D15" s="105">
        <v>10000</v>
      </c>
      <c r="E15" s="106">
        <f>A15*B15</f>
        <v>19663.006436955697</v>
      </c>
      <c r="F15" s="107"/>
      <c r="G15" s="104" t="s">
        <v>10</v>
      </c>
      <c r="H15" s="108">
        <f t="shared" si="2"/>
        <v>1428.5714285714287</v>
      </c>
      <c r="I15" s="109">
        <f>(H15*100)/H18</f>
        <v>8.8401697312588414</v>
      </c>
      <c r="J15" s="110">
        <f t="shared" si="3"/>
        <v>2809.0009195650996</v>
      </c>
      <c r="K15" s="111">
        <f>(J15*100)/J18</f>
        <v>69.77925407549543</v>
      </c>
    </row>
    <row r="16" spans="1:11" x14ac:dyDescent="0.2">
      <c r="A16" s="102">
        <f t="shared" si="0"/>
        <v>0</v>
      </c>
      <c r="B16" s="103">
        <v>200</v>
      </c>
      <c r="C16" s="104" t="s">
        <v>77</v>
      </c>
      <c r="D16" s="105">
        <v>0</v>
      </c>
      <c r="E16" s="106">
        <f>A16*B16</f>
        <v>0</v>
      </c>
      <c r="F16" s="107"/>
      <c r="G16" s="104" t="s">
        <v>77</v>
      </c>
      <c r="H16" s="108">
        <f t="shared" si="2"/>
        <v>0</v>
      </c>
      <c r="I16" s="109">
        <f>(H16*100)/H18</f>
        <v>0</v>
      </c>
      <c r="J16" s="110">
        <f t="shared" si="3"/>
        <v>0</v>
      </c>
      <c r="K16" s="111">
        <f>(J16*100)/J18</f>
        <v>0</v>
      </c>
    </row>
    <row r="17" spans="1:16" x14ac:dyDescent="0.2">
      <c r="A17" s="102"/>
      <c r="B17" s="112"/>
      <c r="C17" s="113"/>
      <c r="E17" s="114"/>
      <c r="F17"/>
      <c r="G17" s="80" t="s">
        <v>6</v>
      </c>
      <c r="H17" s="64"/>
      <c r="I17" s="92" t="s">
        <v>6</v>
      </c>
      <c r="J17" s="64"/>
      <c r="K17" s="93" t="s">
        <v>6</v>
      </c>
    </row>
    <row r="18" spans="1:16" ht="17" thickBot="1" x14ac:dyDescent="0.25">
      <c r="A18" s="78"/>
      <c r="B18" s="79"/>
      <c r="C18" s="80" t="s">
        <v>78</v>
      </c>
      <c r="D18" s="63">
        <f>SUM(D6:D16)</f>
        <v>113120</v>
      </c>
      <c r="E18" s="115">
        <f>SUM(E6:E16)</f>
        <v>28178.87163953048</v>
      </c>
      <c r="F18" s="116"/>
      <c r="G18" s="117" t="s">
        <v>79</v>
      </c>
      <c r="H18" s="118">
        <f>D19</f>
        <v>16160</v>
      </c>
      <c r="I18" s="119">
        <f>(H18*100)/H18</f>
        <v>100</v>
      </c>
      <c r="J18" s="118">
        <f>E19</f>
        <v>4025.5530913614971</v>
      </c>
      <c r="K18" s="120">
        <f>(J18*100)/J18</f>
        <v>100</v>
      </c>
    </row>
    <row r="19" spans="1:16" ht="17" thickBot="1" x14ac:dyDescent="0.25">
      <c r="A19" s="121"/>
      <c r="B19" s="122"/>
      <c r="C19" s="117" t="s">
        <v>79</v>
      </c>
      <c r="D19" s="123">
        <f>D18/7</f>
        <v>16160</v>
      </c>
      <c r="E19" s="124">
        <f>E18/7</f>
        <v>4025.5530913614971</v>
      </c>
      <c r="F19" s="116"/>
      <c r="G19" s="116"/>
      <c r="H19" s="9"/>
      <c r="I19" s="9"/>
      <c r="J19" s="9"/>
      <c r="K19" s="9"/>
    </row>
    <row r="20" spans="1:16" x14ac:dyDescent="0.2">
      <c r="A20" s="13"/>
      <c r="B20" s="3"/>
      <c r="C20" s="1"/>
      <c r="D20" s="125"/>
      <c r="E20" s="116"/>
      <c r="F20" s="116"/>
      <c r="G20" s="126" t="s">
        <v>34</v>
      </c>
      <c r="H20" s="127">
        <f>(SUM(H6:H9))/(H18/100)</f>
        <v>81.43564356435644</v>
      </c>
      <c r="I20" s="128"/>
      <c r="J20" s="9"/>
      <c r="K20" s="9"/>
      <c r="L20" s="125"/>
      <c r="M20" s="64"/>
      <c r="N20" s="116"/>
    </row>
    <row r="21" spans="1:16" ht="17" thickBot="1" x14ac:dyDescent="0.25">
      <c r="A21" s="13"/>
      <c r="B21" s="3"/>
      <c r="C21" t="s">
        <v>6</v>
      </c>
      <c r="D21" s="62"/>
      <c r="E21" s="116"/>
      <c r="F21" s="116"/>
      <c r="G21" s="129" t="s">
        <v>80</v>
      </c>
      <c r="H21" s="130">
        <f>(SUM(H10:H16))/(H18/100)</f>
        <v>18.564356435643564</v>
      </c>
      <c r="I21" s="131"/>
      <c r="L21" s="125"/>
      <c r="M21" s="64"/>
      <c r="N21" s="116"/>
    </row>
    <row r="22" spans="1:16" ht="17" thickBot="1" x14ac:dyDescent="0.25">
      <c r="D22" s="13" t="s">
        <v>63</v>
      </c>
      <c r="G22" s="132" t="s">
        <v>6</v>
      </c>
      <c r="H22" s="133" t="s">
        <v>6</v>
      </c>
      <c r="I22" s="133"/>
      <c r="J22" s="2" t="s">
        <v>6</v>
      </c>
      <c r="M22" s="14"/>
      <c r="N22" s="14"/>
      <c r="O22" s="2"/>
      <c r="P22" t="s">
        <v>6</v>
      </c>
    </row>
    <row r="23" spans="1:16" x14ac:dyDescent="0.2">
      <c r="C23" s="134" t="s">
        <v>34</v>
      </c>
      <c r="D23" s="135">
        <f>((SUM(D6:D9))/D18)*100</f>
        <v>81.435643564356425</v>
      </c>
      <c r="G23" s="136" t="s">
        <v>81</v>
      </c>
      <c r="H23" s="137">
        <v>16000</v>
      </c>
      <c r="I23" s="138"/>
      <c r="L23" s="132" t="s">
        <v>6</v>
      </c>
      <c r="M23" s="133" t="s">
        <v>6</v>
      </c>
      <c r="N23" s="14"/>
      <c r="O23" s="2" t="s">
        <v>6</v>
      </c>
      <c r="P23" t="s">
        <v>6</v>
      </c>
    </row>
    <row r="24" spans="1:16" ht="17" thickBot="1" x14ac:dyDescent="0.25">
      <c r="C24" s="139" t="s">
        <v>80</v>
      </c>
      <c r="D24" s="140">
        <f>((SUM(D10:D16))/D18)*100</f>
        <v>18.564356435643564</v>
      </c>
      <c r="G24" s="141" t="s">
        <v>82</v>
      </c>
      <c r="H24" s="142">
        <f>H23-H18</f>
        <v>-160</v>
      </c>
      <c r="I24" s="138"/>
      <c r="L24" s="143" t="s">
        <v>6</v>
      </c>
      <c r="M24" s="144" t="s">
        <v>6</v>
      </c>
      <c r="N24" s="14"/>
      <c r="O24" s="2" t="s">
        <v>6</v>
      </c>
      <c r="P24" s="52" t="s">
        <v>6</v>
      </c>
    </row>
    <row r="25" spans="1:16" ht="17" thickBot="1" x14ac:dyDescent="0.25">
      <c r="G25" s="145" t="s">
        <v>83</v>
      </c>
      <c r="H25" s="146">
        <f>(H24*100)/H23</f>
        <v>-1</v>
      </c>
      <c r="I25" s="147"/>
    </row>
    <row r="26" spans="1:16" ht="17" thickBot="1" x14ac:dyDescent="0.25">
      <c r="C26" s="148" t="s">
        <v>84</v>
      </c>
      <c r="D26" s="149">
        <v>4078</v>
      </c>
      <c r="G26"/>
      <c r="H26" s="14"/>
      <c r="I26" s="14"/>
      <c r="L26" t="s">
        <v>6</v>
      </c>
      <c r="M26" s="52" t="s">
        <v>6</v>
      </c>
    </row>
    <row r="27" spans="1:16" x14ac:dyDescent="0.2">
      <c r="C27" s="150" t="s">
        <v>85</v>
      </c>
      <c r="D27" s="151">
        <f>D26-E19</f>
        <v>52.446908638502919</v>
      </c>
      <c r="G27" s="152" t="s">
        <v>84</v>
      </c>
      <c r="H27" s="149">
        <v>4078</v>
      </c>
      <c r="I27"/>
      <c r="J27"/>
      <c r="K27"/>
    </row>
    <row r="28" spans="1:16" ht="17" thickBot="1" x14ac:dyDescent="0.25">
      <c r="C28" s="153" t="s">
        <v>86</v>
      </c>
      <c r="D28" s="154">
        <f>D27/32</f>
        <v>1.6389658949532162</v>
      </c>
      <c r="E28" s="62"/>
      <c r="F28" s="62"/>
      <c r="G28" s="155" t="s">
        <v>85</v>
      </c>
      <c r="H28" s="151">
        <f>H27-J18</f>
        <v>52.446908638502919</v>
      </c>
      <c r="I28" s="52"/>
      <c r="J28"/>
      <c r="K28"/>
    </row>
    <row r="29" spans="1:16" ht="17" thickBot="1" x14ac:dyDescent="0.25">
      <c r="G29" s="153" t="s">
        <v>86</v>
      </c>
      <c r="H29" s="154">
        <f>H28/32</f>
        <v>1.6389658949532162</v>
      </c>
      <c r="I29" s="125"/>
      <c r="J29"/>
      <c r="K29"/>
    </row>
    <row r="30" spans="1:16" x14ac:dyDescent="0.2">
      <c r="D30" s="14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CN calculation</vt:lpstr>
      <vt:lpstr>biogas calculation</vt:lpstr>
      <vt:lpstr>  all calculations  </vt:lpstr>
      <vt:lpstr>+ graphics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</dc:creator>
  <cp:lastModifiedBy>Joan Richmond-Hall</cp:lastModifiedBy>
  <cp:lastPrinted>2015-07-31T12:15:11Z</cp:lastPrinted>
  <dcterms:created xsi:type="dcterms:W3CDTF">2014-12-10T13:45:23Z</dcterms:created>
  <dcterms:modified xsi:type="dcterms:W3CDTF">2019-12-17T14:14:44Z</dcterms:modified>
</cp:coreProperties>
</file>