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600" yWindow="0" windowWidth="25960" windowHeight="17540" tabRatio="621" activeTab="4"/>
  </bookViews>
  <sheets>
    <sheet name="Jan'16" sheetId="20" r:id="rId1"/>
    <sheet name="Feb'16" sheetId="21" r:id="rId2"/>
    <sheet name="Mar'16" sheetId="18" r:id="rId3"/>
    <sheet name="Apr'16" sheetId="22" r:id="rId4"/>
    <sheet name="May'16" sheetId="23" r:id="rId5"/>
    <sheet name="TEMPLATE" sheetId="19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5" i="23" l="1"/>
  <c r="K32" i="23"/>
  <c r="K31" i="23"/>
  <c r="P30" i="23"/>
  <c r="K29" i="23"/>
  <c r="X27" i="23"/>
  <c r="P26" i="23"/>
  <c r="P23" i="23"/>
  <c r="X20" i="23"/>
  <c r="P19" i="23"/>
  <c r="X16" i="23"/>
  <c r="P16" i="23"/>
  <c r="V15" i="23"/>
  <c r="K27" i="23"/>
  <c r="K25" i="23"/>
  <c r="E23" i="23"/>
  <c r="K20" i="23"/>
  <c r="K17" i="23"/>
  <c r="K16" i="23"/>
  <c r="K15" i="23"/>
  <c r="P12" i="23"/>
  <c r="K13" i="23"/>
  <c r="K12" i="23"/>
  <c r="K11" i="23"/>
  <c r="W36" i="22"/>
  <c r="W30" i="22"/>
  <c r="W24" i="22"/>
  <c r="W13" i="22"/>
  <c r="W11" i="22"/>
  <c r="U11" i="22"/>
  <c r="O39" i="22"/>
  <c r="O32" i="22"/>
  <c r="O28" i="22"/>
  <c r="O25" i="22"/>
  <c r="O21" i="22"/>
  <c r="O18" i="22"/>
  <c r="O14" i="22"/>
  <c r="O11" i="22"/>
  <c r="J38" i="22"/>
  <c r="J36" i="22"/>
  <c r="J31" i="22"/>
  <c r="J26" i="22"/>
  <c r="J22" i="22"/>
  <c r="J21" i="22"/>
  <c r="J20" i="22"/>
  <c r="J15" i="22"/>
  <c r="J14" i="22"/>
  <c r="D11" i="22"/>
  <c r="U11" i="21"/>
  <c r="U18" i="21"/>
  <c r="U28" i="21"/>
  <c r="U32" i="21"/>
  <c r="U35" i="21"/>
  <c r="U39" i="21"/>
  <c r="W35" i="21"/>
  <c r="W33" i="21"/>
  <c r="W28" i="21"/>
  <c r="W26" i="21"/>
  <c r="W16" i="21"/>
  <c r="W14" i="21"/>
  <c r="W11" i="21"/>
  <c r="U36" i="21"/>
  <c r="U33" i="21"/>
  <c r="O39" i="21"/>
  <c r="O36" i="21"/>
  <c r="O32" i="21"/>
  <c r="P29" i="21"/>
  <c r="O29" i="21"/>
  <c r="O25" i="21"/>
  <c r="O22" i="21"/>
  <c r="O18" i="21"/>
  <c r="O15" i="21"/>
  <c r="O11" i="21"/>
  <c r="J24" i="21"/>
  <c r="J22" i="21"/>
  <c r="J21" i="21"/>
  <c r="D34" i="21"/>
  <c r="D31" i="21"/>
  <c r="D30" i="21"/>
  <c r="D28" i="21"/>
  <c r="D27" i="21"/>
  <c r="D22" i="21"/>
  <c r="D19" i="21"/>
  <c r="E16" i="21"/>
  <c r="D16" i="21"/>
  <c r="D15" i="21"/>
  <c r="D14" i="21"/>
  <c r="D12" i="21"/>
  <c r="C46" i="20"/>
  <c r="C45" i="20"/>
  <c r="W38" i="20"/>
  <c r="W37" i="20"/>
  <c r="W34" i="20"/>
  <c r="W30" i="20"/>
  <c r="W25" i="20"/>
  <c r="W22" i="20"/>
  <c r="W18" i="20"/>
  <c r="W16" i="20"/>
  <c r="W14" i="20"/>
  <c r="O39" i="20"/>
  <c r="O35" i="20"/>
  <c r="O32" i="20"/>
  <c r="O28" i="20"/>
  <c r="O25" i="20"/>
  <c r="O21" i="20"/>
  <c r="O18" i="20"/>
  <c r="J41" i="20"/>
  <c r="J33" i="20"/>
  <c r="J26" i="20"/>
  <c r="J13" i="20"/>
  <c r="D36" i="20"/>
  <c r="D35" i="20"/>
  <c r="D32" i="20"/>
  <c r="D29" i="20"/>
  <c r="D28" i="20"/>
  <c r="D26" i="20"/>
  <c r="D25" i="20"/>
  <c r="D22" i="20"/>
  <c r="D19" i="20"/>
  <c r="D18" i="20"/>
  <c r="D17" i="20"/>
  <c r="D13" i="20"/>
  <c r="D11" i="20"/>
  <c r="B30" i="20"/>
  <c r="AR11" i="23"/>
  <c r="AS11" i="23"/>
  <c r="AR12" i="23"/>
  <c r="AS12" i="23"/>
  <c r="AR13" i="23"/>
  <c r="AS13" i="23"/>
  <c r="AR14" i="23"/>
  <c r="AS14" i="23"/>
  <c r="AR15" i="23"/>
  <c r="AS15" i="23"/>
  <c r="AR16" i="23"/>
  <c r="AS16" i="23"/>
  <c r="AR17" i="23"/>
  <c r="AS17" i="23"/>
  <c r="AR18" i="23"/>
  <c r="AS18" i="23"/>
  <c r="AR19" i="23"/>
  <c r="AS19" i="23"/>
  <c r="AR20" i="23"/>
  <c r="AS20" i="23"/>
  <c r="AR21" i="23"/>
  <c r="AS21" i="23"/>
  <c r="AR22" i="23"/>
  <c r="AS22" i="23"/>
  <c r="AR23" i="23"/>
  <c r="AS23" i="23"/>
  <c r="AR24" i="23"/>
  <c r="AS24" i="23"/>
  <c r="AR25" i="23"/>
  <c r="AS25" i="23"/>
  <c r="AR26" i="23"/>
  <c r="AS26" i="23"/>
  <c r="AR27" i="23"/>
  <c r="AS27" i="23"/>
  <c r="AR28" i="23"/>
  <c r="AS28" i="23"/>
  <c r="AR29" i="23"/>
  <c r="AS29" i="23"/>
  <c r="AR30" i="23"/>
  <c r="AS30" i="23"/>
  <c r="AR31" i="23"/>
  <c r="AS31" i="23"/>
  <c r="AR32" i="23"/>
  <c r="AS32" i="23"/>
  <c r="AR33" i="23"/>
  <c r="AS33" i="23"/>
  <c r="AR34" i="23"/>
  <c r="AS34" i="23"/>
  <c r="AR35" i="23"/>
  <c r="AS35" i="23"/>
  <c r="AR36" i="23"/>
  <c r="AS36" i="23"/>
  <c r="AR37" i="23"/>
  <c r="AS37" i="23"/>
  <c r="AR38" i="23"/>
  <c r="AS38" i="23"/>
  <c r="AR39" i="23"/>
  <c r="AS39" i="23"/>
  <c r="AR40" i="23"/>
  <c r="AS40" i="23"/>
  <c r="AR41" i="23"/>
  <c r="AS41" i="23"/>
  <c r="AS46" i="23"/>
  <c r="AR46" i="23"/>
  <c r="AM11" i="23"/>
  <c r="AN11" i="23"/>
  <c r="AO11" i="23"/>
  <c r="AM12" i="23"/>
  <c r="AN12" i="23"/>
  <c r="AO12" i="23"/>
  <c r="AM13" i="23"/>
  <c r="AN13" i="23"/>
  <c r="AO13" i="23"/>
  <c r="AM14" i="23"/>
  <c r="AN14" i="23"/>
  <c r="AO14" i="23"/>
  <c r="AM15" i="23"/>
  <c r="AN15" i="23"/>
  <c r="AO15" i="23"/>
  <c r="AM16" i="23"/>
  <c r="AN16" i="23"/>
  <c r="AO16" i="23"/>
  <c r="AM17" i="23"/>
  <c r="AN17" i="23"/>
  <c r="AO17" i="23"/>
  <c r="AM18" i="23"/>
  <c r="AN18" i="23"/>
  <c r="AO18" i="23"/>
  <c r="AM19" i="23"/>
  <c r="AN19" i="23"/>
  <c r="AO19" i="23"/>
  <c r="AM20" i="23"/>
  <c r="AN20" i="23"/>
  <c r="AO20" i="23"/>
  <c r="AM21" i="23"/>
  <c r="AN21" i="23"/>
  <c r="AO21" i="23"/>
  <c r="AM22" i="23"/>
  <c r="AN22" i="23"/>
  <c r="AO22" i="23"/>
  <c r="AM23" i="23"/>
  <c r="AN23" i="23"/>
  <c r="AO23" i="23"/>
  <c r="AM24" i="23"/>
  <c r="AN24" i="23"/>
  <c r="AO24" i="23"/>
  <c r="AM25" i="23"/>
  <c r="AN25" i="23"/>
  <c r="AO25" i="23"/>
  <c r="AM26" i="23"/>
  <c r="AN26" i="23"/>
  <c r="AO26" i="23"/>
  <c r="AM27" i="23"/>
  <c r="AN27" i="23"/>
  <c r="AO27" i="23"/>
  <c r="AM28" i="23"/>
  <c r="AN28" i="23"/>
  <c r="AO28" i="23"/>
  <c r="AM29" i="23"/>
  <c r="AN29" i="23"/>
  <c r="AO29" i="23"/>
  <c r="AM30" i="23"/>
  <c r="AN30" i="23"/>
  <c r="AO30" i="23"/>
  <c r="AM31" i="23"/>
  <c r="AN31" i="23"/>
  <c r="AO31" i="23"/>
  <c r="AM32" i="23"/>
  <c r="AN32" i="23"/>
  <c r="AO32" i="23"/>
  <c r="AM33" i="23"/>
  <c r="AN33" i="23"/>
  <c r="AO33" i="23"/>
  <c r="AM34" i="23"/>
  <c r="AN34" i="23"/>
  <c r="AO34" i="23"/>
  <c r="AM35" i="23"/>
  <c r="AN35" i="23"/>
  <c r="AO35" i="23"/>
  <c r="AM36" i="23"/>
  <c r="AN36" i="23"/>
  <c r="AO36" i="23"/>
  <c r="AM37" i="23"/>
  <c r="AN37" i="23"/>
  <c r="AO37" i="23"/>
  <c r="AM38" i="23"/>
  <c r="AN38" i="23"/>
  <c r="AO38" i="23"/>
  <c r="AM39" i="23"/>
  <c r="AN39" i="23"/>
  <c r="AO39" i="23"/>
  <c r="AM40" i="23"/>
  <c r="AN40" i="23"/>
  <c r="AO40" i="23"/>
  <c r="AM41" i="23"/>
  <c r="AN41" i="23"/>
  <c r="AO41" i="23"/>
  <c r="AO46" i="23"/>
  <c r="AI11" i="23"/>
  <c r="AK6" i="23"/>
  <c r="AK11" i="23"/>
  <c r="AI12" i="23"/>
  <c r="AK12" i="23"/>
  <c r="AI13" i="23"/>
  <c r="AK13" i="23"/>
  <c r="AI14" i="23"/>
  <c r="AK14" i="23"/>
  <c r="AI15" i="23"/>
  <c r="AK15" i="23"/>
  <c r="AI16" i="23"/>
  <c r="AK16" i="23"/>
  <c r="AI17" i="23"/>
  <c r="AK17" i="23"/>
  <c r="AI18" i="23"/>
  <c r="AK18" i="23"/>
  <c r="AI19" i="23"/>
  <c r="AK19" i="23"/>
  <c r="AI20" i="23"/>
  <c r="AK20" i="23"/>
  <c r="AI21" i="23"/>
  <c r="AK21" i="23"/>
  <c r="AI22" i="23"/>
  <c r="AK22" i="23"/>
  <c r="AI23" i="23"/>
  <c r="AK23" i="23"/>
  <c r="AI24" i="23"/>
  <c r="AK24" i="23"/>
  <c r="AI25" i="23"/>
  <c r="AK25" i="23"/>
  <c r="AI26" i="23"/>
  <c r="AK26" i="23"/>
  <c r="AI27" i="23"/>
  <c r="AK27" i="23"/>
  <c r="AI28" i="23"/>
  <c r="AK28" i="23"/>
  <c r="AI29" i="23"/>
  <c r="AK29" i="23"/>
  <c r="AI30" i="23"/>
  <c r="AK30" i="23"/>
  <c r="AI31" i="23"/>
  <c r="AK31" i="23"/>
  <c r="AI32" i="23"/>
  <c r="AK32" i="23"/>
  <c r="AI33" i="23"/>
  <c r="AK33" i="23"/>
  <c r="AI34" i="23"/>
  <c r="AK34" i="23"/>
  <c r="AI35" i="23"/>
  <c r="AK35" i="23"/>
  <c r="AI36" i="23"/>
  <c r="AK36" i="23"/>
  <c r="AI37" i="23"/>
  <c r="AK37" i="23"/>
  <c r="AI38" i="23"/>
  <c r="AK38" i="23"/>
  <c r="AI39" i="23"/>
  <c r="AK39" i="23"/>
  <c r="AI40" i="23"/>
  <c r="AK40" i="23"/>
  <c r="AI41" i="23"/>
  <c r="AK41" i="23"/>
  <c r="AK46" i="23"/>
  <c r="AJ6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0" i="23"/>
  <c r="AJ41" i="23"/>
  <c r="AJ46" i="23"/>
  <c r="AI46" i="23"/>
  <c r="AD11" i="23"/>
  <c r="AC11" i="23"/>
  <c r="AE11" i="23"/>
  <c r="AG11" i="23"/>
  <c r="AC12" i="23"/>
  <c r="AD12" i="23"/>
  <c r="AE12" i="23"/>
  <c r="AG12" i="23"/>
  <c r="AC13" i="23"/>
  <c r="AD13" i="23"/>
  <c r="AE13" i="23"/>
  <c r="AG13" i="23"/>
  <c r="AC14" i="23"/>
  <c r="AD14" i="23"/>
  <c r="AE14" i="23"/>
  <c r="AG14" i="23"/>
  <c r="AC15" i="23"/>
  <c r="AD15" i="23"/>
  <c r="AE15" i="23"/>
  <c r="AG15" i="23"/>
  <c r="AC16" i="23"/>
  <c r="AD16" i="23"/>
  <c r="AE16" i="23"/>
  <c r="AG16" i="23"/>
  <c r="AC17" i="23"/>
  <c r="AD17" i="23"/>
  <c r="AE17" i="23"/>
  <c r="AG17" i="23"/>
  <c r="AC18" i="23"/>
  <c r="AD18" i="23"/>
  <c r="AE18" i="23"/>
  <c r="AG18" i="23"/>
  <c r="AC19" i="23"/>
  <c r="AD19" i="23"/>
  <c r="AE19" i="23"/>
  <c r="AG19" i="23"/>
  <c r="AC20" i="23"/>
  <c r="AD20" i="23"/>
  <c r="AE20" i="23"/>
  <c r="AG20" i="23"/>
  <c r="AC21" i="23"/>
  <c r="AD21" i="23"/>
  <c r="AE21" i="23"/>
  <c r="AG21" i="23"/>
  <c r="AC22" i="23"/>
  <c r="AD22" i="23"/>
  <c r="AE22" i="23"/>
  <c r="AG22" i="23"/>
  <c r="AC23" i="23"/>
  <c r="AD23" i="23"/>
  <c r="AE23" i="23"/>
  <c r="AG23" i="23"/>
  <c r="AC24" i="23"/>
  <c r="AD24" i="23"/>
  <c r="AE24" i="23"/>
  <c r="AG24" i="23"/>
  <c r="AC25" i="23"/>
  <c r="AD25" i="23"/>
  <c r="AE25" i="23"/>
  <c r="AG25" i="23"/>
  <c r="AC26" i="23"/>
  <c r="AD26" i="23"/>
  <c r="AE26" i="23"/>
  <c r="AG26" i="23"/>
  <c r="AC27" i="23"/>
  <c r="AD27" i="23"/>
  <c r="AE27" i="23"/>
  <c r="AG27" i="23"/>
  <c r="AC28" i="23"/>
  <c r="AD28" i="23"/>
  <c r="AE28" i="23"/>
  <c r="AG28" i="23"/>
  <c r="AC29" i="23"/>
  <c r="AD29" i="23"/>
  <c r="AE29" i="23"/>
  <c r="AG29" i="23"/>
  <c r="AC30" i="23"/>
  <c r="AD30" i="23"/>
  <c r="AE30" i="23"/>
  <c r="AG30" i="23"/>
  <c r="AC31" i="23"/>
  <c r="AD31" i="23"/>
  <c r="AE31" i="23"/>
  <c r="AG31" i="23"/>
  <c r="AC32" i="23"/>
  <c r="AD32" i="23"/>
  <c r="AE32" i="23"/>
  <c r="AG32" i="23"/>
  <c r="AC33" i="23"/>
  <c r="AD33" i="23"/>
  <c r="AE33" i="23"/>
  <c r="AG33" i="23"/>
  <c r="AC34" i="23"/>
  <c r="AD34" i="23"/>
  <c r="AE34" i="23"/>
  <c r="AG34" i="23"/>
  <c r="AC35" i="23"/>
  <c r="AD35" i="23"/>
  <c r="AE35" i="23"/>
  <c r="AG35" i="23"/>
  <c r="AC36" i="23"/>
  <c r="AE36" i="23"/>
  <c r="AG36" i="23"/>
  <c r="AC37" i="23"/>
  <c r="AE37" i="23"/>
  <c r="AG37" i="23"/>
  <c r="AC38" i="23"/>
  <c r="AE38" i="23"/>
  <c r="AG38" i="23"/>
  <c r="AC39" i="23"/>
  <c r="AE39" i="23"/>
  <c r="AG39" i="23"/>
  <c r="AC40" i="23"/>
  <c r="AE40" i="23"/>
  <c r="AG40" i="23"/>
  <c r="AC41" i="23"/>
  <c r="AE41" i="23"/>
  <c r="AG41" i="23"/>
  <c r="AG46" i="23"/>
  <c r="AF1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6" i="23"/>
  <c r="AD36" i="23"/>
  <c r="AD37" i="23"/>
  <c r="AD38" i="23"/>
  <c r="AD39" i="23"/>
  <c r="AD40" i="23"/>
  <c r="AD41" i="23"/>
  <c r="AE46" i="23"/>
  <c r="AD46" i="23"/>
  <c r="AC46" i="23"/>
  <c r="Z46" i="23"/>
  <c r="Y46" i="23"/>
  <c r="X46" i="23"/>
  <c r="W46" i="23"/>
  <c r="V46" i="23"/>
  <c r="U46" i="23"/>
  <c r="T46" i="23"/>
  <c r="S46" i="23"/>
  <c r="R46" i="23"/>
  <c r="Q46" i="23"/>
  <c r="P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AS45" i="23"/>
  <c r="AR45" i="23"/>
  <c r="AO45" i="23"/>
  <c r="AK45" i="23"/>
  <c r="AJ45" i="23"/>
  <c r="AI45" i="23"/>
  <c r="AF45" i="23"/>
  <c r="AE45" i="23"/>
  <c r="AD45" i="23"/>
  <c r="AC45" i="23"/>
  <c r="Z45" i="23"/>
  <c r="Y45" i="23"/>
  <c r="X45" i="23"/>
  <c r="W45" i="23"/>
  <c r="V45" i="23"/>
  <c r="U45" i="23"/>
  <c r="T45" i="23"/>
  <c r="S45" i="23"/>
  <c r="R45" i="23"/>
  <c r="Q45" i="23"/>
  <c r="P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AO43" i="23"/>
  <c r="AN43" i="23"/>
  <c r="AM43" i="23"/>
  <c r="AE43" i="23"/>
  <c r="AD43" i="23"/>
  <c r="AC43" i="23"/>
  <c r="AQ11" i="22"/>
  <c r="AR11" i="22"/>
  <c r="AQ12" i="22"/>
  <c r="AR12" i="22"/>
  <c r="AQ13" i="22"/>
  <c r="AR13" i="22"/>
  <c r="AQ14" i="22"/>
  <c r="AR14" i="22"/>
  <c r="AQ15" i="22"/>
  <c r="AR15" i="22"/>
  <c r="AQ16" i="22"/>
  <c r="AR16" i="22"/>
  <c r="AQ17" i="22"/>
  <c r="AR17" i="22"/>
  <c r="AQ18" i="22"/>
  <c r="AR18" i="22"/>
  <c r="AQ19" i="22"/>
  <c r="AR19" i="22"/>
  <c r="AQ20" i="22"/>
  <c r="AR20" i="22"/>
  <c r="AQ21" i="22"/>
  <c r="AR21" i="22"/>
  <c r="AQ22" i="22"/>
  <c r="AR22" i="22"/>
  <c r="AQ23" i="22"/>
  <c r="AR23" i="22"/>
  <c r="AQ24" i="22"/>
  <c r="AR24" i="22"/>
  <c r="AQ25" i="22"/>
  <c r="AR25" i="22"/>
  <c r="AQ26" i="22"/>
  <c r="AR26" i="22"/>
  <c r="AQ27" i="22"/>
  <c r="AR27" i="22"/>
  <c r="AQ28" i="22"/>
  <c r="AR28" i="22"/>
  <c r="AQ29" i="22"/>
  <c r="AR29" i="22"/>
  <c r="AQ30" i="22"/>
  <c r="AR30" i="22"/>
  <c r="AQ31" i="22"/>
  <c r="AR31" i="22"/>
  <c r="AQ32" i="22"/>
  <c r="AR32" i="22"/>
  <c r="AQ33" i="22"/>
  <c r="AR33" i="22"/>
  <c r="AQ34" i="22"/>
  <c r="AR34" i="22"/>
  <c r="AQ35" i="22"/>
  <c r="AR35" i="22"/>
  <c r="AQ36" i="22"/>
  <c r="AR36" i="22"/>
  <c r="AQ37" i="22"/>
  <c r="AR37" i="22"/>
  <c r="AQ38" i="22"/>
  <c r="AR38" i="22"/>
  <c r="AQ39" i="22"/>
  <c r="AR39" i="22"/>
  <c r="AQ40" i="22"/>
  <c r="AR40" i="22"/>
  <c r="AR45" i="22"/>
  <c r="AQ45" i="22"/>
  <c r="AL11" i="22"/>
  <c r="AM11" i="22"/>
  <c r="AN11" i="22"/>
  <c r="AL12" i="22"/>
  <c r="AM12" i="22"/>
  <c r="AN12" i="22"/>
  <c r="AL13" i="22"/>
  <c r="AM13" i="22"/>
  <c r="AN13" i="22"/>
  <c r="AL14" i="22"/>
  <c r="AM14" i="22"/>
  <c r="AN14" i="22"/>
  <c r="AL15" i="22"/>
  <c r="AM15" i="22"/>
  <c r="AN15" i="22"/>
  <c r="AL16" i="22"/>
  <c r="AM16" i="22"/>
  <c r="AN16" i="22"/>
  <c r="AL17" i="22"/>
  <c r="AM17" i="22"/>
  <c r="AN17" i="22"/>
  <c r="AL18" i="22"/>
  <c r="AM18" i="22"/>
  <c r="AN18" i="22"/>
  <c r="AL19" i="22"/>
  <c r="AM19" i="22"/>
  <c r="AN19" i="22"/>
  <c r="AL20" i="22"/>
  <c r="AM20" i="22"/>
  <c r="AN20" i="22"/>
  <c r="AL21" i="22"/>
  <c r="AM21" i="22"/>
  <c r="AN21" i="22"/>
  <c r="AL22" i="22"/>
  <c r="AM22" i="22"/>
  <c r="AN22" i="22"/>
  <c r="AL23" i="22"/>
  <c r="AM23" i="22"/>
  <c r="AN23" i="22"/>
  <c r="AL24" i="22"/>
  <c r="AM24" i="22"/>
  <c r="AN24" i="22"/>
  <c r="AL25" i="22"/>
  <c r="AM25" i="22"/>
  <c r="AN25" i="22"/>
  <c r="AL26" i="22"/>
  <c r="AM26" i="22"/>
  <c r="AN26" i="22"/>
  <c r="AL27" i="22"/>
  <c r="AM27" i="22"/>
  <c r="AN27" i="22"/>
  <c r="AL28" i="22"/>
  <c r="AM28" i="22"/>
  <c r="AN28" i="22"/>
  <c r="AL29" i="22"/>
  <c r="AM29" i="22"/>
  <c r="AN29" i="22"/>
  <c r="AL30" i="22"/>
  <c r="AM30" i="22"/>
  <c r="AN30" i="22"/>
  <c r="AL31" i="22"/>
  <c r="AM31" i="22"/>
  <c r="AN31" i="22"/>
  <c r="AL32" i="22"/>
  <c r="AM32" i="22"/>
  <c r="AN32" i="22"/>
  <c r="AL33" i="22"/>
  <c r="AM33" i="22"/>
  <c r="AN33" i="22"/>
  <c r="AL34" i="22"/>
  <c r="AM34" i="22"/>
  <c r="AN34" i="22"/>
  <c r="AL35" i="22"/>
  <c r="AM35" i="22"/>
  <c r="AN35" i="22"/>
  <c r="AL36" i="22"/>
  <c r="AM36" i="22"/>
  <c r="AN36" i="22"/>
  <c r="AL37" i="22"/>
  <c r="AM37" i="22"/>
  <c r="AN37" i="22"/>
  <c r="AL38" i="22"/>
  <c r="AM38" i="22"/>
  <c r="AN38" i="22"/>
  <c r="AL39" i="22"/>
  <c r="AM39" i="22"/>
  <c r="AN39" i="22"/>
  <c r="AL40" i="22"/>
  <c r="AM40" i="22"/>
  <c r="AN40" i="22"/>
  <c r="AN45" i="22"/>
  <c r="AH11" i="22"/>
  <c r="AJ6" i="22"/>
  <c r="AJ11" i="22"/>
  <c r="AH12" i="22"/>
  <c r="AJ12" i="22"/>
  <c r="AH13" i="22"/>
  <c r="AJ13" i="22"/>
  <c r="AH14" i="22"/>
  <c r="AJ14" i="22"/>
  <c r="AH15" i="22"/>
  <c r="AJ15" i="22"/>
  <c r="AH16" i="22"/>
  <c r="AJ16" i="22"/>
  <c r="AH17" i="22"/>
  <c r="AJ17" i="22"/>
  <c r="AH18" i="22"/>
  <c r="AJ18" i="22"/>
  <c r="AH19" i="22"/>
  <c r="AJ19" i="22"/>
  <c r="AH20" i="22"/>
  <c r="AJ20" i="22"/>
  <c r="AH21" i="22"/>
  <c r="AJ21" i="22"/>
  <c r="AH22" i="22"/>
  <c r="AJ22" i="22"/>
  <c r="AH23" i="22"/>
  <c r="AJ23" i="22"/>
  <c r="AH24" i="22"/>
  <c r="AJ24" i="22"/>
  <c r="AH25" i="22"/>
  <c r="AJ25" i="22"/>
  <c r="AH26" i="22"/>
  <c r="AJ26" i="22"/>
  <c r="AH27" i="22"/>
  <c r="AJ27" i="22"/>
  <c r="AH28" i="22"/>
  <c r="AJ28" i="22"/>
  <c r="AH29" i="22"/>
  <c r="AJ29" i="22"/>
  <c r="AH30" i="22"/>
  <c r="AJ30" i="22"/>
  <c r="AH31" i="22"/>
  <c r="AJ31" i="22"/>
  <c r="AH32" i="22"/>
  <c r="AJ32" i="22"/>
  <c r="AH33" i="22"/>
  <c r="AJ33" i="22"/>
  <c r="AH34" i="22"/>
  <c r="AJ34" i="22"/>
  <c r="AH35" i="22"/>
  <c r="AJ35" i="22"/>
  <c r="AH36" i="22"/>
  <c r="AJ36" i="22"/>
  <c r="AH37" i="22"/>
  <c r="AJ37" i="22"/>
  <c r="AH38" i="22"/>
  <c r="AJ38" i="22"/>
  <c r="AH39" i="22"/>
  <c r="AJ39" i="22"/>
  <c r="AH40" i="22"/>
  <c r="AJ40" i="22"/>
  <c r="AJ45" i="22"/>
  <c r="AI6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5" i="22"/>
  <c r="AH45" i="22"/>
  <c r="AC11" i="22"/>
  <c r="AB11" i="22"/>
  <c r="AD11" i="22"/>
  <c r="AF11" i="22"/>
  <c r="AB12" i="22"/>
  <c r="AC12" i="22"/>
  <c r="AD12" i="22"/>
  <c r="AF12" i="22"/>
  <c r="AB13" i="22"/>
  <c r="AC13" i="22"/>
  <c r="AD13" i="22"/>
  <c r="AF13" i="22"/>
  <c r="AB14" i="22"/>
  <c r="AC14" i="22"/>
  <c r="AD14" i="22"/>
  <c r="AF14" i="22"/>
  <c r="AB15" i="22"/>
  <c r="AC15" i="22"/>
  <c r="AD15" i="22"/>
  <c r="AF15" i="22"/>
  <c r="AB16" i="22"/>
  <c r="AC16" i="22"/>
  <c r="AD16" i="22"/>
  <c r="AF16" i="22"/>
  <c r="AB17" i="22"/>
  <c r="AC17" i="22"/>
  <c r="AD17" i="22"/>
  <c r="AF17" i="22"/>
  <c r="AB18" i="22"/>
  <c r="AC18" i="22"/>
  <c r="AD18" i="22"/>
  <c r="AF18" i="22"/>
  <c r="AB19" i="22"/>
  <c r="AC19" i="22"/>
  <c r="AD19" i="22"/>
  <c r="AF19" i="22"/>
  <c r="AB20" i="22"/>
  <c r="AC20" i="22"/>
  <c r="AD20" i="22"/>
  <c r="AF20" i="22"/>
  <c r="AB21" i="22"/>
  <c r="AC21" i="22"/>
  <c r="AD21" i="22"/>
  <c r="AF21" i="22"/>
  <c r="AB22" i="22"/>
  <c r="AC22" i="22"/>
  <c r="AD22" i="22"/>
  <c r="AF22" i="22"/>
  <c r="AB23" i="22"/>
  <c r="AC23" i="22"/>
  <c r="AD23" i="22"/>
  <c r="AF23" i="22"/>
  <c r="AB24" i="22"/>
  <c r="AC24" i="22"/>
  <c r="AD24" i="22"/>
  <c r="AF24" i="22"/>
  <c r="AB25" i="22"/>
  <c r="AC25" i="22"/>
  <c r="AD25" i="22"/>
  <c r="AF25" i="22"/>
  <c r="AB26" i="22"/>
  <c r="AC26" i="22"/>
  <c r="AD26" i="22"/>
  <c r="AF26" i="22"/>
  <c r="AB27" i="22"/>
  <c r="AC27" i="22"/>
  <c r="AD27" i="22"/>
  <c r="AF27" i="22"/>
  <c r="AB28" i="22"/>
  <c r="AC28" i="22"/>
  <c r="AD28" i="22"/>
  <c r="AF28" i="22"/>
  <c r="AB29" i="22"/>
  <c r="AC29" i="22"/>
  <c r="AD29" i="22"/>
  <c r="AF29" i="22"/>
  <c r="AB30" i="22"/>
  <c r="AC30" i="22"/>
  <c r="AD30" i="22"/>
  <c r="AF30" i="22"/>
  <c r="AB31" i="22"/>
  <c r="AC31" i="22"/>
  <c r="AD31" i="22"/>
  <c r="AF31" i="22"/>
  <c r="AB32" i="22"/>
  <c r="AC32" i="22"/>
  <c r="AD32" i="22"/>
  <c r="AF32" i="22"/>
  <c r="AB33" i="22"/>
  <c r="AC33" i="22"/>
  <c r="AD33" i="22"/>
  <c r="AF33" i="22"/>
  <c r="AB34" i="22"/>
  <c r="AC34" i="22"/>
  <c r="AD34" i="22"/>
  <c r="AF34" i="22"/>
  <c r="AB35" i="22"/>
  <c r="AC35" i="22"/>
  <c r="AD35" i="22"/>
  <c r="AF35" i="22"/>
  <c r="AB36" i="22"/>
  <c r="AC36" i="22"/>
  <c r="AD36" i="22"/>
  <c r="AF36" i="22"/>
  <c r="AB37" i="22"/>
  <c r="AC37" i="22"/>
  <c r="AD37" i="22"/>
  <c r="AF37" i="22"/>
  <c r="AB38" i="22"/>
  <c r="AC38" i="22"/>
  <c r="AD38" i="22"/>
  <c r="AF38" i="22"/>
  <c r="AB39" i="22"/>
  <c r="AC39" i="22"/>
  <c r="AD39" i="22"/>
  <c r="AF39" i="22"/>
  <c r="AB40" i="22"/>
  <c r="AC40" i="22"/>
  <c r="AD40" i="22"/>
  <c r="AF40" i="22"/>
  <c r="AF45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5" i="22"/>
  <c r="AD45" i="22"/>
  <c r="AC45" i="22"/>
  <c r="AB45" i="22"/>
  <c r="Y45" i="22"/>
  <c r="X45" i="22"/>
  <c r="W45" i="22"/>
  <c r="V45" i="22"/>
  <c r="U45" i="22"/>
  <c r="T45" i="22"/>
  <c r="S45" i="22"/>
  <c r="R45" i="22"/>
  <c r="Q45" i="22"/>
  <c r="P45" i="22"/>
  <c r="O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R44" i="22"/>
  <c r="AQ44" i="22"/>
  <c r="AN44" i="22"/>
  <c r="AJ44" i="22"/>
  <c r="AI44" i="22"/>
  <c r="AH44" i="22"/>
  <c r="AF44" i="22"/>
  <c r="AE44" i="22"/>
  <c r="AD44" i="22"/>
  <c r="AC44" i="22"/>
  <c r="AB44" i="22"/>
  <c r="Y44" i="22"/>
  <c r="X44" i="22"/>
  <c r="W44" i="22"/>
  <c r="V44" i="22"/>
  <c r="U44" i="22"/>
  <c r="T44" i="22"/>
  <c r="S44" i="22"/>
  <c r="R44" i="22"/>
  <c r="Q44" i="22"/>
  <c r="P44" i="22"/>
  <c r="O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N42" i="22"/>
  <c r="AM42" i="22"/>
  <c r="AL42" i="22"/>
  <c r="AD42" i="22"/>
  <c r="AC42" i="22"/>
  <c r="AB42" i="22"/>
  <c r="AQ11" i="21"/>
  <c r="AR11" i="21"/>
  <c r="AQ12" i="21"/>
  <c r="AR12" i="21"/>
  <c r="AQ13" i="21"/>
  <c r="AR13" i="21"/>
  <c r="AQ14" i="21"/>
  <c r="AR14" i="21"/>
  <c r="AQ15" i="21"/>
  <c r="AR15" i="21"/>
  <c r="AQ16" i="21"/>
  <c r="AR16" i="21"/>
  <c r="AQ17" i="21"/>
  <c r="AR17" i="21"/>
  <c r="AQ18" i="21"/>
  <c r="AR18" i="21"/>
  <c r="AQ19" i="21"/>
  <c r="AR19" i="21"/>
  <c r="AQ20" i="21"/>
  <c r="AR20" i="21"/>
  <c r="AQ21" i="21"/>
  <c r="AR21" i="21"/>
  <c r="AQ22" i="21"/>
  <c r="AR22" i="21"/>
  <c r="AQ23" i="21"/>
  <c r="AR23" i="21"/>
  <c r="AQ24" i="21"/>
  <c r="AR24" i="21"/>
  <c r="AQ25" i="21"/>
  <c r="AR25" i="21"/>
  <c r="AQ26" i="21"/>
  <c r="AR26" i="21"/>
  <c r="AQ27" i="21"/>
  <c r="AR27" i="21"/>
  <c r="AQ28" i="21"/>
  <c r="AR28" i="21"/>
  <c r="AQ29" i="21"/>
  <c r="AR29" i="21"/>
  <c r="AQ30" i="21"/>
  <c r="AR30" i="21"/>
  <c r="AQ31" i="21"/>
  <c r="AR31" i="21"/>
  <c r="AQ32" i="21"/>
  <c r="AR32" i="21"/>
  <c r="AQ33" i="21"/>
  <c r="AR33" i="21"/>
  <c r="AQ34" i="21"/>
  <c r="AR34" i="21"/>
  <c r="AQ35" i="21"/>
  <c r="AR35" i="21"/>
  <c r="AQ36" i="21"/>
  <c r="AR36" i="21"/>
  <c r="AQ37" i="21"/>
  <c r="AR37" i="21"/>
  <c r="AQ38" i="21"/>
  <c r="AR38" i="21"/>
  <c r="AQ39" i="21"/>
  <c r="AR39" i="21"/>
  <c r="AR44" i="21"/>
  <c r="AQ44" i="21"/>
  <c r="AL11" i="21"/>
  <c r="AM11" i="21"/>
  <c r="AN11" i="21"/>
  <c r="AL12" i="21"/>
  <c r="AM12" i="21"/>
  <c r="AN12" i="21"/>
  <c r="AL13" i="21"/>
  <c r="AM13" i="21"/>
  <c r="AN13" i="21"/>
  <c r="AL14" i="21"/>
  <c r="AM14" i="21"/>
  <c r="AN14" i="21"/>
  <c r="AL15" i="21"/>
  <c r="AM15" i="21"/>
  <c r="AN15" i="21"/>
  <c r="AL16" i="21"/>
  <c r="AM16" i="21"/>
  <c r="AN16" i="21"/>
  <c r="AL17" i="21"/>
  <c r="AM17" i="21"/>
  <c r="AN17" i="21"/>
  <c r="AL18" i="21"/>
  <c r="AM18" i="21"/>
  <c r="AN18" i="21"/>
  <c r="AL19" i="21"/>
  <c r="AM19" i="21"/>
  <c r="AN19" i="21"/>
  <c r="AL20" i="21"/>
  <c r="AM20" i="21"/>
  <c r="AN20" i="21"/>
  <c r="AL21" i="21"/>
  <c r="AM21" i="21"/>
  <c r="AN21" i="21"/>
  <c r="AL22" i="21"/>
  <c r="AM22" i="21"/>
  <c r="AN22" i="21"/>
  <c r="AL23" i="21"/>
  <c r="AM23" i="21"/>
  <c r="AN23" i="21"/>
  <c r="AL24" i="21"/>
  <c r="AM24" i="21"/>
  <c r="AN24" i="21"/>
  <c r="AL25" i="21"/>
  <c r="AM25" i="21"/>
  <c r="AN25" i="21"/>
  <c r="AL26" i="21"/>
  <c r="AM26" i="21"/>
  <c r="AN26" i="21"/>
  <c r="AL27" i="21"/>
  <c r="AM27" i="21"/>
  <c r="AN27" i="21"/>
  <c r="AL28" i="21"/>
  <c r="AM28" i="21"/>
  <c r="AN28" i="21"/>
  <c r="AL29" i="21"/>
  <c r="AM29" i="21"/>
  <c r="AN29" i="21"/>
  <c r="AL30" i="21"/>
  <c r="AM30" i="21"/>
  <c r="AN30" i="21"/>
  <c r="AL31" i="21"/>
  <c r="AM31" i="21"/>
  <c r="AN31" i="21"/>
  <c r="AL32" i="21"/>
  <c r="AM32" i="21"/>
  <c r="AN32" i="21"/>
  <c r="AL33" i="21"/>
  <c r="AM33" i="21"/>
  <c r="AN33" i="21"/>
  <c r="AL34" i="21"/>
  <c r="AM34" i="21"/>
  <c r="AN34" i="21"/>
  <c r="AL35" i="21"/>
  <c r="AM35" i="21"/>
  <c r="AN35" i="21"/>
  <c r="AL36" i="21"/>
  <c r="AM36" i="21"/>
  <c r="AN36" i="21"/>
  <c r="AL37" i="21"/>
  <c r="AM37" i="21"/>
  <c r="AN37" i="21"/>
  <c r="AL38" i="21"/>
  <c r="AM38" i="21"/>
  <c r="AN38" i="21"/>
  <c r="AL39" i="21"/>
  <c r="AM39" i="21"/>
  <c r="AN39" i="21"/>
  <c r="AN44" i="21"/>
  <c r="AH11" i="21"/>
  <c r="AJ6" i="21"/>
  <c r="AJ11" i="21"/>
  <c r="AH12" i="21"/>
  <c r="AJ12" i="21"/>
  <c r="AH13" i="21"/>
  <c r="AJ13" i="21"/>
  <c r="AH14" i="21"/>
  <c r="AJ14" i="21"/>
  <c r="AH15" i="21"/>
  <c r="AJ15" i="21"/>
  <c r="AH16" i="21"/>
  <c r="AJ16" i="21"/>
  <c r="AH17" i="21"/>
  <c r="AJ17" i="21"/>
  <c r="AH18" i="21"/>
  <c r="AJ18" i="21"/>
  <c r="AH19" i="21"/>
  <c r="AJ19" i="21"/>
  <c r="AH20" i="21"/>
  <c r="AJ20" i="21"/>
  <c r="AH21" i="21"/>
  <c r="AJ21" i="21"/>
  <c r="AH22" i="21"/>
  <c r="AJ22" i="21"/>
  <c r="AH23" i="21"/>
  <c r="AJ23" i="21"/>
  <c r="AH24" i="21"/>
  <c r="AJ24" i="21"/>
  <c r="AH25" i="21"/>
  <c r="AJ25" i="21"/>
  <c r="AH26" i="21"/>
  <c r="AJ26" i="21"/>
  <c r="AH27" i="21"/>
  <c r="AJ27" i="21"/>
  <c r="AH28" i="21"/>
  <c r="AJ28" i="21"/>
  <c r="AH29" i="21"/>
  <c r="AJ29" i="21"/>
  <c r="AH30" i="21"/>
  <c r="AJ30" i="21"/>
  <c r="AH31" i="21"/>
  <c r="AJ31" i="21"/>
  <c r="AH32" i="21"/>
  <c r="AJ32" i="21"/>
  <c r="AH33" i="21"/>
  <c r="AJ33" i="21"/>
  <c r="AH34" i="21"/>
  <c r="AJ34" i="21"/>
  <c r="AH35" i="21"/>
  <c r="AJ35" i="21"/>
  <c r="AH36" i="21"/>
  <c r="AJ36" i="21"/>
  <c r="AH37" i="21"/>
  <c r="AJ37" i="21"/>
  <c r="AH38" i="21"/>
  <c r="AJ38" i="21"/>
  <c r="AH39" i="21"/>
  <c r="AJ39" i="21"/>
  <c r="AJ44" i="21"/>
  <c r="AI6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4" i="21"/>
  <c r="AH44" i="21"/>
  <c r="AC11" i="21"/>
  <c r="AB11" i="21"/>
  <c r="AD11" i="21"/>
  <c r="AF11" i="21"/>
  <c r="AB12" i="21"/>
  <c r="AC12" i="21"/>
  <c r="AD12" i="21"/>
  <c r="AF12" i="21"/>
  <c r="AB13" i="21"/>
  <c r="AC13" i="21"/>
  <c r="AD13" i="21"/>
  <c r="AF13" i="21"/>
  <c r="AB14" i="21"/>
  <c r="AC14" i="21"/>
  <c r="AD14" i="21"/>
  <c r="AF14" i="21"/>
  <c r="AB15" i="21"/>
  <c r="AC15" i="21"/>
  <c r="AD15" i="21"/>
  <c r="AF15" i="21"/>
  <c r="AB16" i="21"/>
  <c r="AC16" i="21"/>
  <c r="AD16" i="21"/>
  <c r="AF16" i="21"/>
  <c r="AB17" i="21"/>
  <c r="AC17" i="21"/>
  <c r="AD17" i="21"/>
  <c r="AF17" i="21"/>
  <c r="AB18" i="21"/>
  <c r="AC18" i="21"/>
  <c r="AD18" i="21"/>
  <c r="AF18" i="21"/>
  <c r="AB19" i="21"/>
  <c r="AC19" i="21"/>
  <c r="AD19" i="21"/>
  <c r="AF19" i="21"/>
  <c r="AB20" i="21"/>
  <c r="AC20" i="21"/>
  <c r="AD20" i="21"/>
  <c r="AF20" i="21"/>
  <c r="AB21" i="21"/>
  <c r="AC21" i="21"/>
  <c r="AD21" i="21"/>
  <c r="AF21" i="21"/>
  <c r="AB22" i="21"/>
  <c r="AC22" i="21"/>
  <c r="AD22" i="21"/>
  <c r="AF22" i="21"/>
  <c r="AB23" i="21"/>
  <c r="AC23" i="21"/>
  <c r="AD23" i="21"/>
  <c r="AF23" i="21"/>
  <c r="AB24" i="21"/>
  <c r="AC24" i="21"/>
  <c r="AD24" i="21"/>
  <c r="AF24" i="21"/>
  <c r="AB25" i="21"/>
  <c r="AC25" i="21"/>
  <c r="AD25" i="21"/>
  <c r="AF25" i="21"/>
  <c r="AB26" i="21"/>
  <c r="AC26" i="21"/>
  <c r="AD26" i="21"/>
  <c r="AF26" i="21"/>
  <c r="AB27" i="21"/>
  <c r="AC27" i="21"/>
  <c r="AD27" i="21"/>
  <c r="AF27" i="21"/>
  <c r="AB28" i="21"/>
  <c r="AC28" i="21"/>
  <c r="AD28" i="21"/>
  <c r="AF28" i="21"/>
  <c r="AB29" i="21"/>
  <c r="AC29" i="21"/>
  <c r="AD29" i="21"/>
  <c r="AF29" i="21"/>
  <c r="AB30" i="21"/>
  <c r="AC30" i="21"/>
  <c r="AD30" i="21"/>
  <c r="AF30" i="21"/>
  <c r="AB31" i="21"/>
  <c r="AC31" i="21"/>
  <c r="AD31" i="21"/>
  <c r="AF31" i="21"/>
  <c r="AB32" i="21"/>
  <c r="AC32" i="21"/>
  <c r="AD32" i="21"/>
  <c r="AF32" i="21"/>
  <c r="AB33" i="21"/>
  <c r="AC33" i="21"/>
  <c r="AD33" i="21"/>
  <c r="AF33" i="21"/>
  <c r="AB34" i="21"/>
  <c r="AC34" i="21"/>
  <c r="AD34" i="21"/>
  <c r="AF34" i="21"/>
  <c r="AB35" i="21"/>
  <c r="AC35" i="21"/>
  <c r="AD35" i="21"/>
  <c r="AF35" i="21"/>
  <c r="AB36" i="21"/>
  <c r="AC36" i="21"/>
  <c r="AD36" i="21"/>
  <c r="AF36" i="21"/>
  <c r="AB37" i="21"/>
  <c r="AC37" i="21"/>
  <c r="AD37" i="21"/>
  <c r="AF37" i="21"/>
  <c r="AB38" i="21"/>
  <c r="AC38" i="21"/>
  <c r="AD38" i="21"/>
  <c r="AF38" i="21"/>
  <c r="AB39" i="21"/>
  <c r="AC39" i="21"/>
  <c r="AD39" i="21"/>
  <c r="AF39" i="21"/>
  <c r="AF44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4" i="21"/>
  <c r="AD44" i="21"/>
  <c r="AC44" i="21"/>
  <c r="AB44" i="21"/>
  <c r="Y44" i="21"/>
  <c r="X44" i="21"/>
  <c r="W44" i="21"/>
  <c r="V44" i="21"/>
  <c r="U44" i="21"/>
  <c r="T44" i="21"/>
  <c r="S44" i="21"/>
  <c r="R44" i="21"/>
  <c r="Q44" i="21"/>
  <c r="P44" i="21"/>
  <c r="O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R43" i="21"/>
  <c r="AQ43" i="21"/>
  <c r="AN43" i="21"/>
  <c r="AJ43" i="21"/>
  <c r="AI43" i="21"/>
  <c r="AH43" i="21"/>
  <c r="AF43" i="21"/>
  <c r="AE43" i="21"/>
  <c r="AD43" i="21"/>
  <c r="AC43" i="21"/>
  <c r="AB43" i="21"/>
  <c r="Y43" i="21"/>
  <c r="X43" i="21"/>
  <c r="W43" i="21"/>
  <c r="V43" i="21"/>
  <c r="U43" i="21"/>
  <c r="T43" i="21"/>
  <c r="S43" i="21"/>
  <c r="R43" i="21"/>
  <c r="Q43" i="21"/>
  <c r="P43" i="21"/>
  <c r="O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N41" i="21"/>
  <c r="AM41" i="21"/>
  <c r="AL41" i="21"/>
  <c r="AD41" i="21"/>
  <c r="AC41" i="21"/>
  <c r="AB41" i="21"/>
  <c r="AQ11" i="20"/>
  <c r="AR11" i="20"/>
  <c r="AQ12" i="20"/>
  <c r="AR12" i="20"/>
  <c r="AQ13" i="20"/>
  <c r="AR13" i="20"/>
  <c r="AQ14" i="20"/>
  <c r="AR14" i="20"/>
  <c r="AQ15" i="20"/>
  <c r="AR15" i="20"/>
  <c r="AQ16" i="20"/>
  <c r="AR16" i="20"/>
  <c r="AQ17" i="20"/>
  <c r="AR17" i="20"/>
  <c r="AQ18" i="20"/>
  <c r="AR18" i="20"/>
  <c r="AQ19" i="20"/>
  <c r="AR19" i="20"/>
  <c r="AQ20" i="20"/>
  <c r="AR20" i="20"/>
  <c r="AQ21" i="20"/>
  <c r="AR21" i="20"/>
  <c r="AQ22" i="20"/>
  <c r="AR22" i="20"/>
  <c r="AQ23" i="20"/>
  <c r="AR23" i="20"/>
  <c r="AQ24" i="20"/>
  <c r="AR24" i="20"/>
  <c r="AQ25" i="20"/>
  <c r="AR25" i="20"/>
  <c r="AQ26" i="20"/>
  <c r="AR26" i="20"/>
  <c r="AQ27" i="20"/>
  <c r="AR27" i="20"/>
  <c r="AQ28" i="20"/>
  <c r="AR28" i="20"/>
  <c r="AQ29" i="20"/>
  <c r="AR29" i="20"/>
  <c r="AQ30" i="20"/>
  <c r="AR30" i="20"/>
  <c r="AQ31" i="20"/>
  <c r="AR31" i="20"/>
  <c r="AQ32" i="20"/>
  <c r="AR32" i="20"/>
  <c r="AQ33" i="20"/>
  <c r="AR33" i="20"/>
  <c r="AQ34" i="20"/>
  <c r="AR34" i="20"/>
  <c r="AQ35" i="20"/>
  <c r="AR35" i="20"/>
  <c r="AQ36" i="20"/>
  <c r="AR36" i="20"/>
  <c r="AQ37" i="20"/>
  <c r="AR37" i="20"/>
  <c r="AQ38" i="20"/>
  <c r="AR38" i="20"/>
  <c r="AQ39" i="20"/>
  <c r="AR39" i="20"/>
  <c r="AQ40" i="20"/>
  <c r="AR40" i="20"/>
  <c r="AQ41" i="20"/>
  <c r="AR41" i="20"/>
  <c r="AR46" i="20"/>
  <c r="AQ46" i="20"/>
  <c r="AL11" i="20"/>
  <c r="AM11" i="20"/>
  <c r="AN11" i="20"/>
  <c r="AL12" i="20"/>
  <c r="AM12" i="20"/>
  <c r="AN12" i="20"/>
  <c r="AL13" i="20"/>
  <c r="AM13" i="20"/>
  <c r="AN13" i="20"/>
  <c r="AL14" i="20"/>
  <c r="AM14" i="20"/>
  <c r="AN14" i="20"/>
  <c r="AL15" i="20"/>
  <c r="AM15" i="20"/>
  <c r="AN15" i="20"/>
  <c r="AL16" i="20"/>
  <c r="AM16" i="20"/>
  <c r="AN16" i="20"/>
  <c r="AL17" i="20"/>
  <c r="AM17" i="20"/>
  <c r="AN17" i="20"/>
  <c r="AL18" i="20"/>
  <c r="AM18" i="20"/>
  <c r="AN18" i="20"/>
  <c r="AL19" i="20"/>
  <c r="AM19" i="20"/>
  <c r="AN19" i="20"/>
  <c r="AL20" i="20"/>
  <c r="AM20" i="20"/>
  <c r="AN20" i="20"/>
  <c r="AL21" i="20"/>
  <c r="AM21" i="20"/>
  <c r="AN21" i="20"/>
  <c r="AL22" i="20"/>
  <c r="AM22" i="20"/>
  <c r="AN22" i="20"/>
  <c r="AL23" i="20"/>
  <c r="AM23" i="20"/>
  <c r="AN23" i="20"/>
  <c r="AL24" i="20"/>
  <c r="AM24" i="20"/>
  <c r="AN24" i="20"/>
  <c r="AL25" i="20"/>
  <c r="AM25" i="20"/>
  <c r="AN25" i="20"/>
  <c r="AL26" i="20"/>
  <c r="AM26" i="20"/>
  <c r="AN26" i="20"/>
  <c r="AL27" i="20"/>
  <c r="AM27" i="20"/>
  <c r="AN27" i="20"/>
  <c r="AL28" i="20"/>
  <c r="AM28" i="20"/>
  <c r="AN28" i="20"/>
  <c r="AL29" i="20"/>
  <c r="AM29" i="20"/>
  <c r="AN29" i="20"/>
  <c r="AL30" i="20"/>
  <c r="AM30" i="20"/>
  <c r="AN30" i="20"/>
  <c r="AL31" i="20"/>
  <c r="AM31" i="20"/>
  <c r="AN31" i="20"/>
  <c r="AL32" i="20"/>
  <c r="AM32" i="20"/>
  <c r="AN32" i="20"/>
  <c r="AL33" i="20"/>
  <c r="AM33" i="20"/>
  <c r="AN33" i="20"/>
  <c r="AL34" i="20"/>
  <c r="AM34" i="20"/>
  <c r="AN34" i="20"/>
  <c r="AL35" i="20"/>
  <c r="AM35" i="20"/>
  <c r="AN35" i="20"/>
  <c r="AL36" i="20"/>
  <c r="AM36" i="20"/>
  <c r="AN36" i="20"/>
  <c r="AL37" i="20"/>
  <c r="AM37" i="20"/>
  <c r="AN37" i="20"/>
  <c r="AL38" i="20"/>
  <c r="AM38" i="20"/>
  <c r="AN38" i="20"/>
  <c r="AL39" i="20"/>
  <c r="AM39" i="20"/>
  <c r="AN39" i="20"/>
  <c r="AL40" i="20"/>
  <c r="AM40" i="20"/>
  <c r="AN40" i="20"/>
  <c r="AL41" i="20"/>
  <c r="AM41" i="20"/>
  <c r="AN41" i="20"/>
  <c r="AN46" i="20"/>
  <c r="AH11" i="20"/>
  <c r="AJ6" i="20"/>
  <c r="AJ11" i="20"/>
  <c r="AH12" i="20"/>
  <c r="AJ12" i="20"/>
  <c r="AH13" i="20"/>
  <c r="AJ13" i="20"/>
  <c r="AH14" i="20"/>
  <c r="AJ14" i="20"/>
  <c r="AH15" i="20"/>
  <c r="AJ15" i="20"/>
  <c r="AH16" i="20"/>
  <c r="AJ16" i="20"/>
  <c r="AH17" i="20"/>
  <c r="AJ17" i="20"/>
  <c r="AH18" i="20"/>
  <c r="AJ18" i="20"/>
  <c r="AH19" i="20"/>
  <c r="AJ19" i="20"/>
  <c r="AH20" i="20"/>
  <c r="AJ20" i="20"/>
  <c r="AH21" i="20"/>
  <c r="AJ21" i="20"/>
  <c r="AH22" i="20"/>
  <c r="AJ22" i="20"/>
  <c r="AH23" i="20"/>
  <c r="AJ23" i="20"/>
  <c r="AH24" i="20"/>
  <c r="AJ24" i="20"/>
  <c r="AH25" i="20"/>
  <c r="AJ25" i="20"/>
  <c r="AH26" i="20"/>
  <c r="AJ26" i="20"/>
  <c r="AH27" i="20"/>
  <c r="AJ27" i="20"/>
  <c r="AH28" i="20"/>
  <c r="AJ28" i="20"/>
  <c r="AH29" i="20"/>
  <c r="AJ29" i="20"/>
  <c r="AH30" i="20"/>
  <c r="AJ30" i="20"/>
  <c r="AH31" i="20"/>
  <c r="AJ31" i="20"/>
  <c r="AH32" i="20"/>
  <c r="AJ32" i="20"/>
  <c r="AH33" i="20"/>
  <c r="AJ33" i="20"/>
  <c r="AH34" i="20"/>
  <c r="AJ34" i="20"/>
  <c r="AH35" i="20"/>
  <c r="AJ35" i="20"/>
  <c r="AH36" i="20"/>
  <c r="AJ36" i="20"/>
  <c r="AH37" i="20"/>
  <c r="AJ37" i="20"/>
  <c r="AH38" i="20"/>
  <c r="AJ38" i="20"/>
  <c r="AH39" i="20"/>
  <c r="AJ39" i="20"/>
  <c r="AH40" i="20"/>
  <c r="AJ40" i="20"/>
  <c r="AH41" i="20"/>
  <c r="AJ41" i="20"/>
  <c r="AJ46" i="20"/>
  <c r="AI6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6" i="20"/>
  <c r="AH46" i="20"/>
  <c r="AC11" i="20"/>
  <c r="AB11" i="20"/>
  <c r="AD11" i="20"/>
  <c r="AF11" i="20"/>
  <c r="AB12" i="20"/>
  <c r="AC12" i="20"/>
  <c r="AD12" i="20"/>
  <c r="AF12" i="20"/>
  <c r="AB13" i="20"/>
  <c r="AC13" i="20"/>
  <c r="AD13" i="20"/>
  <c r="AF13" i="20"/>
  <c r="AB14" i="20"/>
  <c r="AC14" i="20"/>
  <c r="AD14" i="20"/>
  <c r="AF14" i="20"/>
  <c r="AB15" i="20"/>
  <c r="AC15" i="20"/>
  <c r="AD15" i="20"/>
  <c r="AF15" i="20"/>
  <c r="AB16" i="20"/>
  <c r="AC16" i="20"/>
  <c r="AD16" i="20"/>
  <c r="AF16" i="20"/>
  <c r="AB17" i="20"/>
  <c r="AC17" i="20"/>
  <c r="AD17" i="20"/>
  <c r="AF17" i="20"/>
  <c r="AB18" i="20"/>
  <c r="AC18" i="20"/>
  <c r="AD18" i="20"/>
  <c r="AF18" i="20"/>
  <c r="AB19" i="20"/>
  <c r="AC19" i="20"/>
  <c r="AD19" i="20"/>
  <c r="AF19" i="20"/>
  <c r="AB20" i="20"/>
  <c r="AC20" i="20"/>
  <c r="AD20" i="20"/>
  <c r="AF20" i="20"/>
  <c r="AB21" i="20"/>
  <c r="AC21" i="20"/>
  <c r="AD21" i="20"/>
  <c r="AF21" i="20"/>
  <c r="AB22" i="20"/>
  <c r="AC22" i="20"/>
  <c r="AD22" i="20"/>
  <c r="AF22" i="20"/>
  <c r="AB23" i="20"/>
  <c r="AC23" i="20"/>
  <c r="AD23" i="20"/>
  <c r="AF23" i="20"/>
  <c r="AB24" i="20"/>
  <c r="AC24" i="20"/>
  <c r="AD24" i="20"/>
  <c r="AF24" i="20"/>
  <c r="AB25" i="20"/>
  <c r="AC25" i="20"/>
  <c r="AD25" i="20"/>
  <c r="AF25" i="20"/>
  <c r="AB26" i="20"/>
  <c r="AC26" i="20"/>
  <c r="AD26" i="20"/>
  <c r="AF26" i="20"/>
  <c r="AB27" i="20"/>
  <c r="AC27" i="20"/>
  <c r="AD27" i="20"/>
  <c r="AF27" i="20"/>
  <c r="AB28" i="20"/>
  <c r="AC28" i="20"/>
  <c r="AD28" i="20"/>
  <c r="AF28" i="20"/>
  <c r="AB29" i="20"/>
  <c r="AC29" i="20"/>
  <c r="AD29" i="20"/>
  <c r="AF29" i="20"/>
  <c r="AB30" i="20"/>
  <c r="AC30" i="20"/>
  <c r="AD30" i="20"/>
  <c r="AF30" i="20"/>
  <c r="AB31" i="20"/>
  <c r="AC31" i="20"/>
  <c r="AD31" i="20"/>
  <c r="AF31" i="20"/>
  <c r="AB32" i="20"/>
  <c r="AC32" i="20"/>
  <c r="AD32" i="20"/>
  <c r="AF32" i="20"/>
  <c r="AB33" i="20"/>
  <c r="AC33" i="20"/>
  <c r="AD33" i="20"/>
  <c r="AF33" i="20"/>
  <c r="AB34" i="20"/>
  <c r="AC34" i="20"/>
  <c r="AD34" i="20"/>
  <c r="AF34" i="20"/>
  <c r="AB35" i="20"/>
  <c r="AC35" i="20"/>
  <c r="AD35" i="20"/>
  <c r="AF35" i="20"/>
  <c r="AB36" i="20"/>
  <c r="AC36" i="20"/>
  <c r="AD36" i="20"/>
  <c r="AF36" i="20"/>
  <c r="AB37" i="20"/>
  <c r="AC37" i="20"/>
  <c r="AD37" i="20"/>
  <c r="AF37" i="20"/>
  <c r="AB38" i="20"/>
  <c r="AC38" i="20"/>
  <c r="AD38" i="20"/>
  <c r="AF38" i="20"/>
  <c r="AB39" i="20"/>
  <c r="AC39" i="20"/>
  <c r="AD39" i="20"/>
  <c r="AF39" i="20"/>
  <c r="AB40" i="20"/>
  <c r="AC40" i="20"/>
  <c r="AD40" i="20"/>
  <c r="AF40" i="20"/>
  <c r="AB41" i="20"/>
  <c r="AC41" i="20"/>
  <c r="AD41" i="20"/>
  <c r="AF41" i="20"/>
  <c r="AF46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6" i="20"/>
  <c r="AD46" i="20"/>
  <c r="AC46" i="20"/>
  <c r="AB46" i="20"/>
  <c r="Y46" i="20"/>
  <c r="X46" i="20"/>
  <c r="W46" i="20"/>
  <c r="V46" i="20"/>
  <c r="U46" i="20"/>
  <c r="T46" i="20"/>
  <c r="S46" i="20"/>
  <c r="R46" i="20"/>
  <c r="Q46" i="20"/>
  <c r="P46" i="20"/>
  <c r="O46" i="20"/>
  <c r="M46" i="20"/>
  <c r="L46" i="20"/>
  <c r="K46" i="20"/>
  <c r="J46" i="20"/>
  <c r="I46" i="20"/>
  <c r="H46" i="20"/>
  <c r="G46" i="20"/>
  <c r="F46" i="20"/>
  <c r="E46" i="20"/>
  <c r="D46" i="20"/>
  <c r="B46" i="20"/>
  <c r="AR45" i="20"/>
  <c r="AQ45" i="20"/>
  <c r="AN45" i="20"/>
  <c r="AJ45" i="20"/>
  <c r="AI45" i="20"/>
  <c r="AH45" i="20"/>
  <c r="AF45" i="20"/>
  <c r="AE45" i="20"/>
  <c r="AD45" i="20"/>
  <c r="AC45" i="20"/>
  <c r="AB45" i="20"/>
  <c r="Y45" i="20"/>
  <c r="X45" i="20"/>
  <c r="W45" i="20"/>
  <c r="V45" i="20"/>
  <c r="U45" i="20"/>
  <c r="T45" i="20"/>
  <c r="S45" i="20"/>
  <c r="R45" i="20"/>
  <c r="Q45" i="20"/>
  <c r="P45" i="20"/>
  <c r="O45" i="20"/>
  <c r="M45" i="20"/>
  <c r="L45" i="20"/>
  <c r="K45" i="20"/>
  <c r="J45" i="20"/>
  <c r="I45" i="20"/>
  <c r="H45" i="20"/>
  <c r="G45" i="20"/>
  <c r="F45" i="20"/>
  <c r="E45" i="20"/>
  <c r="D45" i="20"/>
  <c r="B45" i="20"/>
  <c r="AN43" i="20"/>
  <c r="AM43" i="20"/>
  <c r="AL43" i="20"/>
  <c r="AD43" i="20"/>
  <c r="AC43" i="20"/>
  <c r="AB43" i="20"/>
  <c r="AQ11" i="19"/>
  <c r="AR11" i="19"/>
  <c r="AQ12" i="19"/>
  <c r="AR12" i="19"/>
  <c r="AQ13" i="19"/>
  <c r="AR13" i="19"/>
  <c r="AQ14" i="19"/>
  <c r="AR14" i="19"/>
  <c r="AQ15" i="19"/>
  <c r="AR15" i="19"/>
  <c r="AQ16" i="19"/>
  <c r="AR16" i="19"/>
  <c r="AQ17" i="19"/>
  <c r="AR17" i="19"/>
  <c r="AQ18" i="19"/>
  <c r="AR18" i="19"/>
  <c r="AQ19" i="19"/>
  <c r="AR19" i="19"/>
  <c r="AQ20" i="19"/>
  <c r="AR20" i="19"/>
  <c r="AQ21" i="19"/>
  <c r="AR21" i="19"/>
  <c r="AQ22" i="19"/>
  <c r="AR22" i="19"/>
  <c r="AQ23" i="19"/>
  <c r="AR23" i="19"/>
  <c r="AQ24" i="19"/>
  <c r="AR24" i="19"/>
  <c r="AQ25" i="19"/>
  <c r="AR25" i="19"/>
  <c r="AQ26" i="19"/>
  <c r="AR26" i="19"/>
  <c r="AQ27" i="19"/>
  <c r="AR27" i="19"/>
  <c r="AQ28" i="19"/>
  <c r="AR28" i="19"/>
  <c r="AQ29" i="19"/>
  <c r="AR29" i="19"/>
  <c r="AQ30" i="19"/>
  <c r="AR30" i="19"/>
  <c r="AQ31" i="19"/>
  <c r="AR31" i="19"/>
  <c r="AQ32" i="19"/>
  <c r="AR32" i="19"/>
  <c r="AQ33" i="19"/>
  <c r="AR33" i="19"/>
  <c r="AQ34" i="19"/>
  <c r="AR34" i="19"/>
  <c r="AQ35" i="19"/>
  <c r="AR35" i="19"/>
  <c r="AQ36" i="19"/>
  <c r="AR36" i="19"/>
  <c r="AQ37" i="19"/>
  <c r="AR37" i="19"/>
  <c r="AQ38" i="19"/>
  <c r="AR38" i="19"/>
  <c r="AQ39" i="19"/>
  <c r="AR39" i="19"/>
  <c r="AQ40" i="19"/>
  <c r="AR40" i="19"/>
  <c r="AQ41" i="19"/>
  <c r="AR41" i="19"/>
  <c r="AR46" i="19"/>
  <c r="AQ46" i="19"/>
  <c r="AL11" i="19"/>
  <c r="AM11" i="19"/>
  <c r="AN11" i="19"/>
  <c r="AL12" i="19"/>
  <c r="AM12" i="19"/>
  <c r="AN12" i="19"/>
  <c r="AL13" i="19"/>
  <c r="AM13" i="19"/>
  <c r="AN13" i="19"/>
  <c r="AL14" i="19"/>
  <c r="AM14" i="19"/>
  <c r="AN14" i="19"/>
  <c r="AL15" i="19"/>
  <c r="AM15" i="19"/>
  <c r="AN15" i="19"/>
  <c r="AL16" i="19"/>
  <c r="AM16" i="19"/>
  <c r="AN16" i="19"/>
  <c r="AL17" i="19"/>
  <c r="AM17" i="19"/>
  <c r="AN17" i="19"/>
  <c r="AL18" i="19"/>
  <c r="AM18" i="19"/>
  <c r="AN18" i="19"/>
  <c r="AL19" i="19"/>
  <c r="AM19" i="19"/>
  <c r="AN19" i="19"/>
  <c r="AL20" i="19"/>
  <c r="AM20" i="19"/>
  <c r="AN20" i="19"/>
  <c r="AL21" i="19"/>
  <c r="AM21" i="19"/>
  <c r="AN21" i="19"/>
  <c r="AL22" i="19"/>
  <c r="AM22" i="19"/>
  <c r="AN22" i="19"/>
  <c r="AL23" i="19"/>
  <c r="AM23" i="19"/>
  <c r="AN23" i="19"/>
  <c r="AL24" i="19"/>
  <c r="AM24" i="19"/>
  <c r="AN24" i="19"/>
  <c r="AL25" i="19"/>
  <c r="AM25" i="19"/>
  <c r="AN25" i="19"/>
  <c r="AL26" i="19"/>
  <c r="AM26" i="19"/>
  <c r="AN26" i="19"/>
  <c r="AL27" i="19"/>
  <c r="AM27" i="19"/>
  <c r="AN27" i="19"/>
  <c r="AL28" i="19"/>
  <c r="AM28" i="19"/>
  <c r="AN28" i="19"/>
  <c r="AL29" i="19"/>
  <c r="AM29" i="19"/>
  <c r="AN29" i="19"/>
  <c r="AL30" i="19"/>
  <c r="AM30" i="19"/>
  <c r="AN30" i="19"/>
  <c r="AL31" i="19"/>
  <c r="AM31" i="19"/>
  <c r="AN31" i="19"/>
  <c r="AL32" i="19"/>
  <c r="AM32" i="19"/>
  <c r="AN32" i="19"/>
  <c r="AL33" i="19"/>
  <c r="AM33" i="19"/>
  <c r="AN33" i="19"/>
  <c r="AL34" i="19"/>
  <c r="AM34" i="19"/>
  <c r="AN34" i="19"/>
  <c r="AL35" i="19"/>
  <c r="AM35" i="19"/>
  <c r="AN35" i="19"/>
  <c r="AL36" i="19"/>
  <c r="AM36" i="19"/>
  <c r="AN36" i="19"/>
  <c r="AL37" i="19"/>
  <c r="AM37" i="19"/>
  <c r="AN37" i="19"/>
  <c r="AL38" i="19"/>
  <c r="AM38" i="19"/>
  <c r="AN38" i="19"/>
  <c r="AL39" i="19"/>
  <c r="AM39" i="19"/>
  <c r="AN39" i="19"/>
  <c r="AL40" i="19"/>
  <c r="AM40" i="19"/>
  <c r="AN40" i="19"/>
  <c r="AL41" i="19"/>
  <c r="AM41" i="19"/>
  <c r="AN41" i="19"/>
  <c r="AN46" i="19"/>
  <c r="AH11" i="19"/>
  <c r="AJ6" i="19"/>
  <c r="AJ11" i="19"/>
  <c r="AH12" i="19"/>
  <c r="AJ12" i="19"/>
  <c r="AH13" i="19"/>
  <c r="AJ13" i="19"/>
  <c r="AH14" i="19"/>
  <c r="AJ14" i="19"/>
  <c r="AH15" i="19"/>
  <c r="AJ15" i="19"/>
  <c r="AH16" i="19"/>
  <c r="AJ16" i="19"/>
  <c r="AH17" i="19"/>
  <c r="AJ17" i="19"/>
  <c r="AH18" i="19"/>
  <c r="AJ18" i="19"/>
  <c r="AH19" i="19"/>
  <c r="AJ19" i="19"/>
  <c r="AH20" i="19"/>
  <c r="AJ20" i="19"/>
  <c r="AH21" i="19"/>
  <c r="AJ21" i="19"/>
  <c r="AH22" i="19"/>
  <c r="AJ22" i="19"/>
  <c r="AH23" i="19"/>
  <c r="AJ23" i="19"/>
  <c r="AH24" i="19"/>
  <c r="AJ24" i="19"/>
  <c r="AH25" i="19"/>
  <c r="AJ25" i="19"/>
  <c r="AH26" i="19"/>
  <c r="AJ26" i="19"/>
  <c r="AH27" i="19"/>
  <c r="AJ27" i="19"/>
  <c r="AH28" i="19"/>
  <c r="AJ28" i="19"/>
  <c r="AH29" i="19"/>
  <c r="AJ29" i="19"/>
  <c r="AH30" i="19"/>
  <c r="AJ30" i="19"/>
  <c r="AH31" i="19"/>
  <c r="AJ31" i="19"/>
  <c r="AH32" i="19"/>
  <c r="AJ32" i="19"/>
  <c r="AH33" i="19"/>
  <c r="AJ33" i="19"/>
  <c r="AH34" i="19"/>
  <c r="AJ34" i="19"/>
  <c r="AH35" i="19"/>
  <c r="AJ35" i="19"/>
  <c r="AH36" i="19"/>
  <c r="AJ36" i="19"/>
  <c r="AH37" i="19"/>
  <c r="AJ37" i="19"/>
  <c r="AH38" i="19"/>
  <c r="AJ38" i="19"/>
  <c r="AH39" i="19"/>
  <c r="AJ39" i="19"/>
  <c r="AH40" i="19"/>
  <c r="AJ40" i="19"/>
  <c r="AH41" i="19"/>
  <c r="AJ41" i="19"/>
  <c r="AJ46" i="19"/>
  <c r="AI6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6" i="19"/>
  <c r="AH46" i="19"/>
  <c r="AC11" i="19"/>
  <c r="AB11" i="19"/>
  <c r="AD11" i="19"/>
  <c r="AF11" i="19"/>
  <c r="AC12" i="19"/>
  <c r="AB12" i="19"/>
  <c r="AD12" i="19"/>
  <c r="AF12" i="19"/>
  <c r="AC13" i="19"/>
  <c r="AB13" i="19"/>
  <c r="AD13" i="19"/>
  <c r="AF13" i="19"/>
  <c r="AC14" i="19"/>
  <c r="AB14" i="19"/>
  <c r="AD14" i="19"/>
  <c r="AF14" i="19"/>
  <c r="AC15" i="19"/>
  <c r="AB15" i="19"/>
  <c r="AD15" i="19"/>
  <c r="AF15" i="19"/>
  <c r="AC16" i="19"/>
  <c r="AB16" i="19"/>
  <c r="AD16" i="19"/>
  <c r="AF16" i="19"/>
  <c r="AC17" i="19"/>
  <c r="AB17" i="19"/>
  <c r="AD17" i="19"/>
  <c r="AF17" i="19"/>
  <c r="AC18" i="19"/>
  <c r="AB18" i="19"/>
  <c r="AD18" i="19"/>
  <c r="AF18" i="19"/>
  <c r="AC19" i="19"/>
  <c r="AB19" i="19"/>
  <c r="AD19" i="19"/>
  <c r="AF19" i="19"/>
  <c r="AC20" i="19"/>
  <c r="AB20" i="19"/>
  <c r="AD20" i="19"/>
  <c r="AF20" i="19"/>
  <c r="AC21" i="19"/>
  <c r="AB21" i="19"/>
  <c r="AD21" i="19"/>
  <c r="AF21" i="19"/>
  <c r="AC22" i="19"/>
  <c r="AB22" i="19"/>
  <c r="AD22" i="19"/>
  <c r="AF22" i="19"/>
  <c r="AC23" i="19"/>
  <c r="AB23" i="19"/>
  <c r="AD23" i="19"/>
  <c r="AF23" i="19"/>
  <c r="AC24" i="19"/>
  <c r="AB24" i="19"/>
  <c r="AD24" i="19"/>
  <c r="AF24" i="19"/>
  <c r="AC25" i="19"/>
  <c r="AB25" i="19"/>
  <c r="AD25" i="19"/>
  <c r="AF25" i="19"/>
  <c r="AC26" i="19"/>
  <c r="AB26" i="19"/>
  <c r="AD26" i="19"/>
  <c r="AF26" i="19"/>
  <c r="AC27" i="19"/>
  <c r="AB27" i="19"/>
  <c r="AD27" i="19"/>
  <c r="AF27" i="19"/>
  <c r="AC28" i="19"/>
  <c r="AB28" i="19"/>
  <c r="AD28" i="19"/>
  <c r="AF28" i="19"/>
  <c r="AC29" i="19"/>
  <c r="AB29" i="19"/>
  <c r="AD29" i="19"/>
  <c r="AF29" i="19"/>
  <c r="AC30" i="19"/>
  <c r="AB30" i="19"/>
  <c r="AD30" i="19"/>
  <c r="AF30" i="19"/>
  <c r="AC31" i="19"/>
  <c r="AB31" i="19"/>
  <c r="AD31" i="19"/>
  <c r="AF31" i="19"/>
  <c r="AC32" i="19"/>
  <c r="AB32" i="19"/>
  <c r="AD32" i="19"/>
  <c r="AF32" i="19"/>
  <c r="AC33" i="19"/>
  <c r="AB33" i="19"/>
  <c r="AD33" i="19"/>
  <c r="AF33" i="19"/>
  <c r="AC34" i="19"/>
  <c r="AB34" i="19"/>
  <c r="AD34" i="19"/>
  <c r="AF34" i="19"/>
  <c r="AC35" i="19"/>
  <c r="AB35" i="19"/>
  <c r="AD35" i="19"/>
  <c r="AF35" i="19"/>
  <c r="AC36" i="19"/>
  <c r="AB36" i="19"/>
  <c r="AD36" i="19"/>
  <c r="AF36" i="19"/>
  <c r="AC37" i="19"/>
  <c r="AB37" i="19"/>
  <c r="AD37" i="19"/>
  <c r="AF37" i="19"/>
  <c r="AC38" i="19"/>
  <c r="AB38" i="19"/>
  <c r="AD38" i="19"/>
  <c r="AF38" i="19"/>
  <c r="AC39" i="19"/>
  <c r="AB39" i="19"/>
  <c r="AD39" i="19"/>
  <c r="AF39" i="19"/>
  <c r="AC40" i="19"/>
  <c r="AB40" i="19"/>
  <c r="AD40" i="19"/>
  <c r="AF40" i="19"/>
  <c r="AC41" i="19"/>
  <c r="AB41" i="19"/>
  <c r="AD41" i="19"/>
  <c r="AF41" i="19"/>
  <c r="AF46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6" i="19"/>
  <c r="AD46" i="19"/>
  <c r="AC46" i="19"/>
  <c r="AB46" i="19"/>
  <c r="Y46" i="19"/>
  <c r="X46" i="19"/>
  <c r="W46" i="19"/>
  <c r="V46" i="19"/>
  <c r="U46" i="19"/>
  <c r="T46" i="19"/>
  <c r="S46" i="19"/>
  <c r="R46" i="19"/>
  <c r="Q46" i="19"/>
  <c r="P46" i="19"/>
  <c r="O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R45" i="19"/>
  <c r="AQ45" i="19"/>
  <c r="AN45" i="19"/>
  <c r="AJ45" i="19"/>
  <c r="AI45" i="19"/>
  <c r="AH45" i="19"/>
  <c r="AF45" i="19"/>
  <c r="AE45" i="19"/>
  <c r="AD45" i="19"/>
  <c r="AC45" i="19"/>
  <c r="AB45" i="19"/>
  <c r="Y45" i="19"/>
  <c r="X45" i="19"/>
  <c r="W45" i="19"/>
  <c r="V45" i="19"/>
  <c r="U45" i="19"/>
  <c r="T45" i="19"/>
  <c r="S45" i="19"/>
  <c r="R45" i="19"/>
  <c r="Q45" i="19"/>
  <c r="P45" i="19"/>
  <c r="O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N43" i="19"/>
  <c r="AM43" i="19"/>
  <c r="AL43" i="19"/>
  <c r="AD43" i="19"/>
  <c r="AC43" i="19"/>
  <c r="AB43" i="19"/>
  <c r="AN43" i="18"/>
  <c r="AM43" i="18"/>
  <c r="AL43" i="18"/>
  <c r="AB43" i="18"/>
  <c r="Y46" i="18"/>
  <c r="X46" i="18"/>
  <c r="W24" i="18"/>
  <c r="W46" i="18"/>
  <c r="V46" i="18"/>
  <c r="U46" i="18"/>
  <c r="T46" i="18"/>
  <c r="S46" i="18"/>
  <c r="R25" i="18"/>
  <c r="R46" i="18"/>
  <c r="Q46" i="18"/>
  <c r="P46" i="18"/>
  <c r="O21" i="18"/>
  <c r="O24" i="18"/>
  <c r="O46" i="18"/>
  <c r="M46" i="18"/>
  <c r="L46" i="18"/>
  <c r="K46" i="18"/>
  <c r="J22" i="18"/>
  <c r="J23" i="18"/>
  <c r="J46" i="18"/>
  <c r="I46" i="18"/>
  <c r="H46" i="18"/>
  <c r="G46" i="18"/>
  <c r="F46" i="18"/>
  <c r="E46" i="18"/>
  <c r="D46" i="18"/>
  <c r="C46" i="18"/>
  <c r="B46" i="18"/>
  <c r="AC12" i="18"/>
  <c r="AC41" i="18"/>
  <c r="AC40" i="18"/>
  <c r="AC39" i="18"/>
  <c r="AC38" i="18"/>
  <c r="AC37" i="18"/>
  <c r="AC36" i="18"/>
  <c r="AC35" i="18"/>
  <c r="AC34" i="18"/>
  <c r="AC33" i="18"/>
  <c r="AC32" i="18"/>
  <c r="AC31" i="18"/>
  <c r="AC30" i="18"/>
  <c r="AC29" i="18"/>
  <c r="AC28" i="18"/>
  <c r="AC27" i="18"/>
  <c r="AC26" i="18"/>
  <c r="AC25" i="18"/>
  <c r="AC24" i="18"/>
  <c r="AC23" i="18"/>
  <c r="AC22" i="18"/>
  <c r="AC21" i="18"/>
  <c r="AC20" i="18"/>
  <c r="AC19" i="18"/>
  <c r="AC18" i="18"/>
  <c r="AC17" i="18"/>
  <c r="AC16" i="18"/>
  <c r="AC15" i="18"/>
  <c r="AC14" i="18"/>
  <c r="AC13" i="18"/>
  <c r="AQ17" i="18"/>
  <c r="AR17" i="18"/>
  <c r="AQ25" i="18"/>
  <c r="AR25" i="18"/>
  <c r="AQ12" i="18"/>
  <c r="AR12" i="18"/>
  <c r="AQ13" i="18"/>
  <c r="AR13" i="18"/>
  <c r="AQ14" i="18"/>
  <c r="AR14" i="18"/>
  <c r="AQ15" i="18"/>
  <c r="AR15" i="18"/>
  <c r="AQ16" i="18"/>
  <c r="AR16" i="18"/>
  <c r="AQ18" i="18"/>
  <c r="AR18" i="18"/>
  <c r="AQ19" i="18"/>
  <c r="AR19" i="18"/>
  <c r="AQ20" i="18"/>
  <c r="AR20" i="18"/>
  <c r="AQ21" i="18"/>
  <c r="AR21" i="18"/>
  <c r="AQ22" i="18"/>
  <c r="AR22" i="18"/>
  <c r="AQ23" i="18"/>
  <c r="AR23" i="18"/>
  <c r="AQ24" i="18"/>
  <c r="AR24" i="18"/>
  <c r="AQ26" i="18"/>
  <c r="AR26" i="18"/>
  <c r="AQ27" i="18"/>
  <c r="AR27" i="18"/>
  <c r="AQ28" i="18"/>
  <c r="AR28" i="18"/>
  <c r="AQ29" i="18"/>
  <c r="AR29" i="18"/>
  <c r="AQ30" i="18"/>
  <c r="AR30" i="18"/>
  <c r="AQ31" i="18"/>
  <c r="AR31" i="18"/>
  <c r="AQ32" i="18"/>
  <c r="AR32" i="18"/>
  <c r="AQ33" i="18"/>
  <c r="AR33" i="18"/>
  <c r="AQ34" i="18"/>
  <c r="AR34" i="18"/>
  <c r="AQ35" i="18"/>
  <c r="AR35" i="18"/>
  <c r="AQ36" i="18"/>
  <c r="AR36" i="18"/>
  <c r="AQ37" i="18"/>
  <c r="AR37" i="18"/>
  <c r="AQ38" i="18"/>
  <c r="AR38" i="18"/>
  <c r="AQ39" i="18"/>
  <c r="AR39" i="18"/>
  <c r="AQ40" i="18"/>
  <c r="AR40" i="18"/>
  <c r="AQ41" i="18"/>
  <c r="AR41" i="18"/>
  <c r="AQ11" i="18"/>
  <c r="AR11" i="18"/>
  <c r="AR45" i="18"/>
  <c r="AR46" i="18"/>
  <c r="AQ45" i="18"/>
  <c r="AQ46" i="18"/>
  <c r="AM41" i="18"/>
  <c r="AL41" i="18"/>
  <c r="AH41" i="18"/>
  <c r="P45" i="18"/>
  <c r="Q45" i="18"/>
  <c r="R45" i="18"/>
  <c r="S45" i="18"/>
  <c r="T45" i="18"/>
  <c r="U45" i="18"/>
  <c r="V45" i="18"/>
  <c r="W45" i="18"/>
  <c r="X45" i="18"/>
  <c r="Y45" i="18"/>
  <c r="C45" i="18"/>
  <c r="D45" i="18"/>
  <c r="E45" i="18"/>
  <c r="F45" i="18"/>
  <c r="G45" i="18"/>
  <c r="H45" i="18"/>
  <c r="I45" i="18"/>
  <c r="J45" i="18"/>
  <c r="K45" i="18"/>
  <c r="L45" i="18"/>
  <c r="M45" i="18"/>
  <c r="AM12" i="18"/>
  <c r="AM13" i="18"/>
  <c r="AM14" i="18"/>
  <c r="AM15" i="18"/>
  <c r="AM16" i="18"/>
  <c r="AM17" i="18"/>
  <c r="AM18" i="18"/>
  <c r="AM19" i="18"/>
  <c r="AM20" i="18"/>
  <c r="AM21" i="18"/>
  <c r="AM22" i="18"/>
  <c r="AM23" i="18"/>
  <c r="AM24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38" i="18"/>
  <c r="AM39" i="18"/>
  <c r="AM40" i="18"/>
  <c r="AM11" i="18"/>
  <c r="AL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11" i="18"/>
  <c r="AN41" i="18"/>
  <c r="AH46" i="18"/>
  <c r="AH45" i="18"/>
  <c r="AC11" i="18"/>
  <c r="AC43" i="18"/>
  <c r="B45" i="18"/>
  <c r="AB41" i="18"/>
  <c r="AB40" i="18"/>
  <c r="AB39" i="18"/>
  <c r="AB38" i="18"/>
  <c r="AB37" i="18"/>
  <c r="AD37" i="18"/>
  <c r="AF37" i="18"/>
  <c r="AB36" i="18"/>
  <c r="AB35" i="18"/>
  <c r="AB34" i="18"/>
  <c r="AB32" i="18"/>
  <c r="AB31" i="18"/>
  <c r="AB30" i="18"/>
  <c r="AN27" i="18"/>
  <c r="AB27" i="18"/>
  <c r="AB25" i="18"/>
  <c r="AN24" i="18"/>
  <c r="AB24" i="18"/>
  <c r="AD24" i="18"/>
  <c r="AB23" i="18"/>
  <c r="AB21" i="18"/>
  <c r="AB20" i="18"/>
  <c r="AB19" i="18"/>
  <c r="AB18" i="18"/>
  <c r="AB17" i="18"/>
  <c r="AB16" i="18"/>
  <c r="AB15" i="18"/>
  <c r="AB14" i="18"/>
  <c r="AD14" i="18"/>
  <c r="AB12" i="18"/>
  <c r="AD12" i="18"/>
  <c r="AF12" i="18"/>
  <c r="AJ6" i="18"/>
  <c r="AJ41" i="18"/>
  <c r="AI6" i="18"/>
  <c r="AI41" i="18"/>
  <c r="AJ17" i="18"/>
  <c r="AN31" i="18"/>
  <c r="AI20" i="18"/>
  <c r="AJ40" i="18"/>
  <c r="AJ12" i="18"/>
  <c r="AJ15" i="18"/>
  <c r="AD17" i="18"/>
  <c r="AF17" i="18"/>
  <c r="AD19" i="18"/>
  <c r="AF19" i="18"/>
  <c r="AI23" i="18"/>
  <c r="AJ24" i="18"/>
  <c r="AJ29" i="18"/>
  <c r="AD15" i="18"/>
  <c r="AF15" i="18"/>
  <c r="AJ16" i="18"/>
  <c r="AJ27" i="18"/>
  <c r="AD40" i="18"/>
  <c r="AF40" i="18"/>
  <c r="AI27" i="18"/>
  <c r="AN30" i="18"/>
  <c r="AD36" i="18"/>
  <c r="AF36" i="18"/>
  <c r="AN40" i="18"/>
  <c r="AF14" i="18"/>
  <c r="AD27" i="18"/>
  <c r="AF27" i="18"/>
  <c r="AD34" i="18"/>
  <c r="AF34" i="18"/>
  <c r="AD38" i="18"/>
  <c r="AF38" i="18"/>
  <c r="AN29" i="18"/>
  <c r="AN16" i="18"/>
  <c r="AD20" i="18"/>
  <c r="AE20" i="18"/>
  <c r="AE40" i="18"/>
  <c r="AN12" i="18"/>
  <c r="AN14" i="18"/>
  <c r="AN17" i="18"/>
  <c r="AD23" i="18"/>
  <c r="AF23" i="18"/>
  <c r="AD41" i="18"/>
  <c r="AN21" i="18"/>
  <c r="AI29" i="18"/>
  <c r="AF24" i="18"/>
  <c r="AE14" i="18"/>
  <c r="AN15" i="18"/>
  <c r="AI14" i="18"/>
  <c r="AJ14" i="18"/>
  <c r="O45" i="18"/>
  <c r="AN11" i="18"/>
  <c r="AJ23" i="18"/>
  <c r="AI24" i="18"/>
  <c r="AD30" i="18"/>
  <c r="AF30" i="18"/>
  <c r="AD35" i="18"/>
  <c r="AF35" i="18"/>
  <c r="AB11" i="18"/>
  <c r="AE12" i="18"/>
  <c r="AD16" i="18"/>
  <c r="AF16" i="18"/>
  <c r="AN20" i="18"/>
  <c r="AN23" i="18"/>
  <c r="AN25" i="18"/>
  <c r="AN26" i="18"/>
  <c r="AB26" i="18"/>
  <c r="AE34" i="18"/>
  <c r="AE37" i="18"/>
  <c r="AI40" i="18"/>
  <c r="AE24" i="18"/>
  <c r="AN28" i="18"/>
  <c r="AB28" i="18"/>
  <c r="AJ30" i="18"/>
  <c r="AI30" i="18"/>
  <c r="AD31" i="18"/>
  <c r="AE31" i="18"/>
  <c r="AJ35" i="18"/>
  <c r="AI35" i="18"/>
  <c r="AB13" i="18"/>
  <c r="AI16" i="18"/>
  <c r="AJ20" i="18"/>
  <c r="AN35" i="18"/>
  <c r="AI12" i="18"/>
  <c r="AI15" i="18"/>
  <c r="AI17" i="18"/>
  <c r="AN18" i="18"/>
  <c r="AB22" i="18"/>
  <c r="AJ31" i="18"/>
  <c r="AI31" i="18"/>
  <c r="AB33" i="18"/>
  <c r="AN37" i="18"/>
  <c r="AB29" i="18"/>
  <c r="AE36" i="18"/>
  <c r="AE23" i="18"/>
  <c r="AB46" i="18"/>
  <c r="AB45" i="18"/>
  <c r="AE19" i="18"/>
  <c r="AE17" i="18"/>
  <c r="AN13" i="18"/>
  <c r="AE15" i="18"/>
  <c r="AN19" i="18"/>
  <c r="AN33" i="18"/>
  <c r="AN36" i="18"/>
  <c r="AE27" i="18"/>
  <c r="AE38" i="18"/>
  <c r="AF20" i="18"/>
  <c r="AF41" i="18"/>
  <c r="AE41" i="18"/>
  <c r="AN32" i="18"/>
  <c r="AN38" i="18"/>
  <c r="AN39" i="18"/>
  <c r="AN22" i="18"/>
  <c r="AE35" i="18"/>
  <c r="AD29" i="18"/>
  <c r="AF29" i="18"/>
  <c r="AI37" i="18"/>
  <c r="AJ37" i="18"/>
  <c r="AI34" i="18"/>
  <c r="AJ34" i="18"/>
  <c r="AJ26" i="18"/>
  <c r="AI26" i="18"/>
  <c r="AJ22" i="18"/>
  <c r="AI22" i="18"/>
  <c r="AI25" i="18"/>
  <c r="AJ25" i="18"/>
  <c r="AD39" i="18"/>
  <c r="AE39" i="18"/>
  <c r="AD13" i="18"/>
  <c r="AF13" i="18"/>
  <c r="AJ28" i="18"/>
  <c r="AI28" i="18"/>
  <c r="AD26" i="18"/>
  <c r="AF26" i="18"/>
  <c r="AJ19" i="18"/>
  <c r="AI19" i="18"/>
  <c r="AE30" i="18"/>
  <c r="AF31" i="18"/>
  <c r="AJ18" i="18"/>
  <c r="AI18" i="18"/>
  <c r="AI39" i="18"/>
  <c r="AJ39" i="18"/>
  <c r="AC46" i="18"/>
  <c r="AD28" i="18"/>
  <c r="AF28" i="18"/>
  <c r="AJ38" i="18"/>
  <c r="AI38" i="18"/>
  <c r="AI21" i="18"/>
  <c r="AJ21" i="18"/>
  <c r="AI36" i="18"/>
  <c r="AJ36" i="18"/>
  <c r="AD18" i="18"/>
  <c r="AE18" i="18"/>
  <c r="AD25" i="18"/>
  <c r="AE25" i="18"/>
  <c r="AD32" i="18"/>
  <c r="AE32" i="18"/>
  <c r="AI13" i="18"/>
  <c r="AJ13" i="18"/>
  <c r="AD11" i="18"/>
  <c r="AI33" i="18"/>
  <c r="AJ33" i="18"/>
  <c r="AJ32" i="18"/>
  <c r="AI32" i="18"/>
  <c r="AC45" i="18"/>
  <c r="AD33" i="18"/>
  <c r="AF33" i="18"/>
  <c r="AD22" i="18"/>
  <c r="AF22" i="18"/>
  <c r="AN34" i="18"/>
  <c r="AI11" i="18"/>
  <c r="AJ11" i="18"/>
  <c r="AD21" i="18"/>
  <c r="AE21" i="18"/>
  <c r="AE16" i="18"/>
  <c r="AN45" i="18"/>
  <c r="AN46" i="18"/>
  <c r="AI45" i="18"/>
  <c r="AI46" i="18"/>
  <c r="AJ45" i="18"/>
  <c r="AJ46" i="18"/>
  <c r="AE11" i="18"/>
  <c r="AD45" i="18"/>
  <c r="AD46" i="18"/>
  <c r="AD43" i="18"/>
  <c r="AE28" i="18"/>
  <c r="AF39" i="18"/>
  <c r="AE29" i="18"/>
  <c r="AE22" i="18"/>
  <c r="AF18" i="18"/>
  <c r="AE13" i="18"/>
  <c r="AF32" i="18"/>
  <c r="AE33" i="18"/>
  <c r="AF21" i="18"/>
  <c r="AE26" i="18"/>
  <c r="AF11" i="18"/>
  <c r="AF25" i="18"/>
  <c r="AF45" i="18"/>
  <c r="AF46" i="18"/>
  <c r="AE46" i="18"/>
  <c r="AE45" i="18"/>
</calcChain>
</file>

<file path=xl/comments1.xml><?xml version="1.0" encoding="utf-8"?>
<comments xmlns="http://schemas.openxmlformats.org/spreadsheetml/2006/main">
  <authors>
    <author>Joan Richmond-Hall</author>
    <author>Nuite, Zyla</author>
  </authors>
  <commentList>
    <comment ref="A3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when available; otherwise literature values.</t>
        </r>
      </text>
    </comment>
    <comment ref="V3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
</t>
        </r>
      </text>
    </comment>
    <comment ref="A4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where possible; otherwise literature values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5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Literature values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X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7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Density correction</t>
        </r>
      </text>
    </comment>
    <comment ref="Y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used in any calculations.</t>
        </r>
      </text>
    </comment>
    <comment ref="Z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included in calculations.</t>
        </r>
      </text>
    </comment>
  </commentList>
</comments>
</file>

<file path=xl/comments2.xml><?xml version="1.0" encoding="utf-8"?>
<comments xmlns="http://schemas.openxmlformats.org/spreadsheetml/2006/main">
  <authors>
    <author>Joan Richmond-Hall</author>
    <author>Nuite, Zyla</author>
  </authors>
  <commentList>
    <comment ref="A3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when available; otherwise literature values.</t>
        </r>
      </text>
    </comment>
    <comment ref="V3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
</t>
        </r>
      </text>
    </comment>
    <comment ref="A4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where possible; otherwise literature values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5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Literature values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X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7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Density correction</t>
        </r>
      </text>
    </comment>
    <comment ref="Y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used in any calculations.</t>
        </r>
      </text>
    </comment>
    <comment ref="Z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included in calculations.</t>
        </r>
      </text>
    </comment>
  </commentList>
</comments>
</file>

<file path=xl/comments3.xml><?xml version="1.0" encoding="utf-8"?>
<comments xmlns="http://schemas.openxmlformats.org/spreadsheetml/2006/main">
  <authors>
    <author>Joan Richmond-Hall</author>
    <author>Nuite, Zyla</author>
  </authors>
  <commentList>
    <comment ref="A3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when available; otherwise literature values.</t>
        </r>
      </text>
    </comment>
    <comment ref="V3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
</t>
        </r>
      </text>
    </comment>
    <comment ref="A4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where possible; otherwise literature values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5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Literature values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X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7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Density correction</t>
        </r>
      </text>
    </comment>
    <comment ref="Y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used in any calculations.</t>
        </r>
      </text>
    </comment>
    <comment ref="Z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included in calculations.</t>
        </r>
      </text>
    </comment>
    <comment ref="P14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dark, may have been veggie oil</t>
        </r>
      </text>
    </comment>
  </commentList>
</comments>
</file>

<file path=xl/comments4.xml><?xml version="1.0" encoding="utf-8"?>
<comments xmlns="http://schemas.openxmlformats.org/spreadsheetml/2006/main">
  <authors>
    <author>Joan Richmond-Hall</author>
    <author>Nuite, Zyla</author>
  </authors>
  <commentList>
    <comment ref="A3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when available; otherwise literature values.</t>
        </r>
      </text>
    </comment>
    <comment ref="V3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
</t>
        </r>
      </text>
    </comment>
    <comment ref="A4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where possible; otherwise literature values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5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Literature values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X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7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Density correction</t>
        </r>
      </text>
    </comment>
    <comment ref="Y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used in any calculations.</t>
        </r>
      </text>
    </comment>
    <comment ref="Z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included in calculations.</t>
        </r>
      </text>
    </comment>
  </commentList>
</comments>
</file>

<file path=xl/comments5.xml><?xml version="1.0" encoding="utf-8"?>
<comments xmlns="http://schemas.openxmlformats.org/spreadsheetml/2006/main">
  <authors>
    <author>Joan Richmond-Hall</author>
    <author>Nuite, Zyla</author>
  </authors>
  <commentList>
    <comment ref="B3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when available; otherwise literature values.</t>
        </r>
      </text>
    </comment>
    <comment ref="W3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
</t>
        </r>
      </text>
    </comment>
    <comment ref="B4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where possible; otherwise literature values</t>
        </r>
      </text>
    </comment>
    <comment ref="R4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B5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Literature values</t>
        </r>
      </text>
    </comment>
    <comment ref="R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Y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B7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Density correction</t>
        </r>
      </text>
    </comment>
    <comment ref="Z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used in any calculations.</t>
        </r>
      </text>
    </comment>
    <comment ref="AA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included in calculations.</t>
        </r>
      </text>
    </comment>
  </commentList>
</comments>
</file>

<file path=xl/comments6.xml><?xml version="1.0" encoding="utf-8"?>
<comments xmlns="http://schemas.openxmlformats.org/spreadsheetml/2006/main">
  <authors>
    <author>Joan Richmond-Hall</author>
    <author>Nuite, Zyla</author>
  </authors>
  <commentList>
    <comment ref="A3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when available; otherwise literature values.</t>
        </r>
      </text>
    </comment>
    <comment ref="V3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
</t>
        </r>
      </text>
    </comment>
    <comment ref="A4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Experimental results where possible; otherwise literature values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5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Literature values</t>
        </r>
      </text>
    </comment>
    <comment ref="Q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X5" authorId="1">
      <text>
        <r>
          <rPr>
            <b/>
            <sz val="8"/>
            <color indexed="81"/>
            <rFont val="Tahoma"/>
            <family val="2"/>
          </rPr>
          <t>Nuite, Zyla:</t>
        </r>
        <r>
          <rPr>
            <sz val="8"/>
            <color indexed="81"/>
            <rFont val="Tahoma"/>
            <family val="2"/>
          </rPr>
          <t xml:space="preserve">
guessed</t>
        </r>
      </text>
    </comment>
    <comment ref="A7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Density correction</t>
        </r>
      </text>
    </comment>
    <comment ref="Y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used in any calculations.</t>
        </r>
      </text>
    </comment>
    <comment ref="Z10" authorId="0">
      <text>
        <r>
          <rPr>
            <b/>
            <sz val="10"/>
            <color indexed="81"/>
            <rFont val="Calibri"/>
          </rPr>
          <t>Joan Richmond-Hall:</t>
        </r>
        <r>
          <rPr>
            <sz val="10"/>
            <color indexed="81"/>
            <rFont val="Calibri"/>
          </rPr>
          <t xml:space="preserve">
This material not included in calculations.</t>
        </r>
      </text>
    </comment>
  </commentList>
</comments>
</file>

<file path=xl/sharedStrings.xml><?xml version="1.0" encoding="utf-8"?>
<sst xmlns="http://schemas.openxmlformats.org/spreadsheetml/2006/main" count="565" uniqueCount="90">
  <si>
    <t>total on-farm</t>
  </si>
  <si>
    <t>total off-farm</t>
  </si>
  <si>
    <t>total volume</t>
  </si>
  <si>
    <t>on-farm</t>
  </si>
  <si>
    <t>off-farm</t>
  </si>
  <si>
    <t>Abdie</t>
  </si>
  <si>
    <t>Vermont Tech</t>
  </si>
  <si>
    <t>heifer manure</t>
  </si>
  <si>
    <t>effluent</t>
  </si>
  <si>
    <t>paper shreds</t>
  </si>
  <si>
    <t>garden refuse</t>
  </si>
  <si>
    <t>brewery</t>
  </si>
  <si>
    <t>GTW</t>
  </si>
  <si>
    <t>FeCl3</t>
  </si>
  <si>
    <t>Na2CO3 (lb)</t>
  </si>
  <si>
    <t>CaCO3(lb)</t>
  </si>
  <si>
    <t>gallons/day</t>
  </si>
  <si>
    <t>%</t>
  </si>
  <si>
    <t>on-farm feedtock (gallons/day)</t>
  </si>
  <si>
    <t>average</t>
  </si>
  <si>
    <t>SD</t>
  </si>
  <si>
    <t>sum</t>
  </si>
  <si>
    <t>milk</t>
  </si>
  <si>
    <t>% TS</t>
  </si>
  <si>
    <t>% VS</t>
  </si>
  <si>
    <t>C</t>
  </si>
  <si>
    <t>N</t>
  </si>
  <si>
    <t>grass silage</t>
  </si>
  <si>
    <t>corn silage</t>
  </si>
  <si>
    <t>fluffage</t>
  </si>
  <si>
    <t>lawn clippings</t>
  </si>
  <si>
    <t>chopped hay</t>
  </si>
  <si>
    <t>chopped grass</t>
  </si>
  <si>
    <t>dead leaves</t>
  </si>
  <si>
    <t>hydrolyzer</t>
  </si>
  <si>
    <t>digester</t>
  </si>
  <si>
    <t>fill level</t>
  </si>
  <si>
    <t>loading rate</t>
  </si>
  <si>
    <t>C:</t>
  </si>
  <si>
    <t>25-30 is good</t>
  </si>
  <si>
    <t>AD Feedstock Data March 2016</t>
  </si>
  <si>
    <t>waste cooking oil</t>
  </si>
  <si>
    <t>off-farm feedstock</t>
  </si>
  <si>
    <t>food waste slurry</t>
  </si>
  <si>
    <t>glycerol / crumb</t>
  </si>
  <si>
    <t>gallons / tote</t>
  </si>
  <si>
    <t>other what</t>
  </si>
  <si>
    <t>other gallons</t>
  </si>
  <si>
    <t>packing peanuts</t>
  </si>
  <si>
    <t>broth powder</t>
  </si>
  <si>
    <t>glycol 2 gal, broth powder 108 gal</t>
  </si>
  <si>
    <t>not included in  VS, C:N calcs</t>
  </si>
  <si>
    <r>
      <t xml:space="preserve">food waste </t>
    </r>
    <r>
      <rPr>
        <b/>
        <u/>
        <sz val="12"/>
        <color rgb="FFFF0000"/>
        <rFont val="Calibri"/>
        <family val="2"/>
        <scheme val="minor"/>
      </rPr>
      <t>totes</t>
    </r>
  </si>
  <si>
    <t>m3 / day</t>
  </si>
  <si>
    <t>estimated</t>
  </si>
  <si>
    <t>biogas production</t>
  </si>
  <si>
    <t>electrical production</t>
  </si>
  <si>
    <t>kWh / day</t>
  </si>
  <si>
    <t>genset efficiency</t>
  </si>
  <si>
    <t>/ tonne oDM</t>
  </si>
  <si>
    <t>numbers in orange are made up</t>
  </si>
  <si>
    <t>C/N</t>
  </si>
  <si>
    <t>Day</t>
  </si>
  <si>
    <t>biogas m3 / tonne oDM</t>
  </si>
  <si>
    <t>capacity (gall)</t>
  </si>
  <si>
    <t>current (gall)</t>
  </si>
  <si>
    <t>lb  VS/day</t>
  </si>
  <si>
    <t>lb VS/day/ft3</t>
  </si>
  <si>
    <t>0.02 - 0.37</t>
  </si>
  <si>
    <t>C:N ratio</t>
  </si>
  <si>
    <t>avg</t>
  </si>
  <si>
    <t>optimal range</t>
  </si>
  <si>
    <t>CH4 (%)</t>
  </si>
  <si>
    <t xml:space="preserve"> </t>
  </si>
  <si>
    <t>biogas m3/tonne oDM</t>
  </si>
  <si>
    <t>AD Feedstock Data _____ 2016</t>
  </si>
  <si>
    <t>AD Feedstock Data January 2016</t>
  </si>
  <si>
    <t>AD Feedstock Data February 2016</t>
  </si>
  <si>
    <t>chicken broth powder</t>
  </si>
  <si>
    <t>NOTES:</t>
  </si>
  <si>
    <t>Glycerol was dark.</t>
  </si>
  <si>
    <t>Glycerol was pale.</t>
  </si>
  <si>
    <t>Glycerol 47-&gt;27%</t>
  </si>
  <si>
    <t>Glycerol was dark</t>
  </si>
  <si>
    <t>Glycerol was pale</t>
  </si>
  <si>
    <t>Glycerol 29-&gt;9%;</t>
  </si>
  <si>
    <t>Glycerol was dark; emptied tank.</t>
  </si>
  <si>
    <t>Glycerol was pale. Try a major day</t>
  </si>
  <si>
    <t>Glycerol mostly dark</t>
  </si>
  <si>
    <t>Glycerol 1/2 pale 1/2 dark.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</si>
</sst>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#,##0.000_);\(#,##0.000\)"/>
    <numFmt numFmtId="168" formatCode="_(* #,##0.0_);_(* \(#,##0.0\);_(* &quot;-&quot;??_);_(@_)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81"/>
      <name val="Calibri"/>
    </font>
    <font>
      <sz val="10"/>
      <color indexed="81"/>
      <name val="Calibri"/>
    </font>
    <font>
      <b/>
      <i/>
      <sz val="12"/>
      <color rgb="FF0000FF"/>
      <name val="Calibri"/>
      <scheme val="minor"/>
    </font>
    <font>
      <b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00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64" fontId="0" fillId="0" borderId="0" xfId="1" applyNumberFormat="1" applyFont="1"/>
    <xf numFmtId="0" fontId="8" fillId="0" borderId="0" xfId="0" applyFont="1"/>
    <xf numFmtId="0" fontId="9" fillId="0" borderId="0" xfId="0" applyFont="1" applyAlignment="1">
      <alignment horizontal="right"/>
    </xf>
    <xf numFmtId="164" fontId="0" fillId="0" borderId="0" xfId="0" applyNumberFormat="1"/>
    <xf numFmtId="164" fontId="5" fillId="0" borderId="0" xfId="1" applyNumberFormat="1" applyFont="1"/>
    <xf numFmtId="165" fontId="10" fillId="0" borderId="0" xfId="1" applyNumberFormat="1" applyFont="1"/>
    <xf numFmtId="165" fontId="10" fillId="0" borderId="0" xfId="0" applyNumberFormat="1" applyFont="1"/>
    <xf numFmtId="2" fontId="10" fillId="0" borderId="0" xfId="0" applyNumberFormat="1" applyFont="1"/>
    <xf numFmtId="1" fontId="2" fillId="0" borderId="0" xfId="0" applyNumberFormat="1" applyFont="1" applyAlignment="1">
      <alignment vertical="center"/>
    </xf>
    <xf numFmtId="0" fontId="0" fillId="0" borderId="0" xfId="0" applyFont="1"/>
    <xf numFmtId="166" fontId="0" fillId="0" borderId="0" xfId="0" applyNumberFormat="1"/>
    <xf numFmtId="1" fontId="0" fillId="0" borderId="0" xfId="0" applyNumberForma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64" fontId="0" fillId="0" borderId="1" xfId="1" applyNumberFormat="1" applyFont="1" applyBorder="1"/>
    <xf numFmtId="164" fontId="0" fillId="0" borderId="2" xfId="1" applyNumberFormat="1" applyFont="1" applyBorder="1"/>
    <xf numFmtId="0" fontId="0" fillId="0" borderId="2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0" fontId="0" fillId="0" borderId="0" xfId="0" applyBorder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NumberFormat="1" applyFont="1" applyFill="1" applyBorder="1"/>
    <xf numFmtId="0" fontId="4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0" fontId="5" fillId="0" borderId="0" xfId="0" applyFont="1" applyFill="1"/>
    <xf numFmtId="165" fontId="10" fillId="0" borderId="0" xfId="0" applyNumberFormat="1" applyFont="1" applyFill="1"/>
    <xf numFmtId="2" fontId="10" fillId="0" borderId="0" xfId="0" applyNumberFormat="1" applyFont="1" applyFill="1"/>
    <xf numFmtId="0" fontId="1" fillId="0" borderId="0" xfId="0" applyFont="1" applyAlignment="1">
      <alignment vertical="center"/>
    </xf>
    <xf numFmtId="164" fontId="0" fillId="0" borderId="7" xfId="1" applyNumberFormat="1" applyFont="1" applyFill="1" applyBorder="1"/>
    <xf numFmtId="0" fontId="5" fillId="5" borderId="10" xfId="0" applyFont="1" applyFill="1" applyBorder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4" fontId="0" fillId="0" borderId="8" xfId="1" applyNumberFormat="1" applyFont="1" applyFill="1" applyBorder="1"/>
    <xf numFmtId="1" fontId="0" fillId="0" borderId="0" xfId="0" applyNumberFormat="1" applyFill="1"/>
    <xf numFmtId="0" fontId="15" fillId="0" borderId="0" xfId="0" applyFont="1"/>
    <xf numFmtId="0" fontId="16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4" xfId="1" applyNumberFormat="1" applyFont="1" applyFill="1" applyBorder="1"/>
    <xf numFmtId="0" fontId="0" fillId="0" borderId="0" xfId="0" applyFill="1" applyBorder="1"/>
    <xf numFmtId="0" fontId="8" fillId="0" borderId="0" xfId="0" applyFont="1" applyFill="1"/>
    <xf numFmtId="166" fontId="0" fillId="0" borderId="0" xfId="0" applyNumberFormat="1" applyFill="1"/>
    <xf numFmtId="0" fontId="1" fillId="0" borderId="0" xfId="0" applyFont="1" applyFill="1" applyAlignment="1">
      <alignment vertical="center"/>
    </xf>
    <xf numFmtId="164" fontId="0" fillId="0" borderId="6" xfId="1" applyNumberFormat="1" applyFont="1" applyFill="1" applyBorder="1"/>
    <xf numFmtId="0" fontId="0" fillId="0" borderId="7" xfId="0" applyFill="1" applyBorder="1"/>
    <xf numFmtId="0" fontId="8" fillId="0" borderId="7" xfId="0" applyFont="1" applyBorder="1"/>
    <xf numFmtId="0" fontId="8" fillId="0" borderId="0" xfId="0" applyFont="1" applyBorder="1"/>
    <xf numFmtId="164" fontId="4" fillId="0" borderId="0" xfId="0" applyNumberFormat="1" applyFont="1"/>
    <xf numFmtId="164" fontId="4" fillId="0" borderId="0" xfId="0" applyNumberFormat="1" applyFont="1" applyFill="1"/>
    <xf numFmtId="167" fontId="4" fillId="0" borderId="0" xfId="0" applyNumberFormat="1" applyFont="1"/>
    <xf numFmtId="37" fontId="4" fillId="0" borderId="0" xfId="0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7" fontId="4" fillId="0" borderId="0" xfId="1" applyNumberFormat="1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Fill="1" applyAlignment="1">
      <alignment vertical="center"/>
    </xf>
    <xf numFmtId="168" fontId="0" fillId="0" borderId="0" xfId="0" applyNumberFormat="1"/>
    <xf numFmtId="168" fontId="0" fillId="0" borderId="0" xfId="0" applyNumberFormat="1" applyFill="1"/>
    <xf numFmtId="0" fontId="4" fillId="0" borderId="0" xfId="0" applyFont="1" applyFill="1"/>
    <xf numFmtId="0" fontId="8" fillId="0" borderId="8" xfId="0" applyFont="1" applyFill="1" applyBorder="1"/>
    <xf numFmtId="0" fontId="0" fillId="0" borderId="0" xfId="1" applyNumberFormat="1" applyFont="1" applyFill="1" applyBorder="1"/>
    <xf numFmtId="0" fontId="0" fillId="0" borderId="2" xfId="1" applyNumberFormat="1" applyFont="1" applyBorder="1"/>
    <xf numFmtId="0" fontId="0" fillId="0" borderId="0" xfId="1" applyNumberFormat="1" applyFont="1" applyBorder="1"/>
    <xf numFmtId="0" fontId="0" fillId="0" borderId="7" xfId="1" applyNumberFormat="1" applyFont="1" applyFill="1" applyBorder="1"/>
    <xf numFmtId="0" fontId="0" fillId="0" borderId="4" xfId="1" applyNumberFormat="1" applyFont="1" applyBorder="1"/>
    <xf numFmtId="0" fontId="0" fillId="0" borderId="4" xfId="1" applyNumberFormat="1" applyFont="1" applyFill="1" applyBorder="1"/>
    <xf numFmtId="0" fontId="0" fillId="0" borderId="2" xfId="1" applyNumberFormat="1" applyFont="1" applyFill="1" applyBorder="1"/>
    <xf numFmtId="2" fontId="10" fillId="0" borderId="0" xfId="1" applyNumberFormat="1" applyFont="1"/>
    <xf numFmtId="164" fontId="10" fillId="0" borderId="0" xfId="1" applyNumberFormat="1" applyFont="1"/>
    <xf numFmtId="164" fontId="10" fillId="0" borderId="0" xfId="0" applyNumberFormat="1" applyFont="1"/>
    <xf numFmtId="164" fontId="17" fillId="0" borderId="0" xfId="0" applyNumberFormat="1" applyFont="1"/>
    <xf numFmtId="164" fontId="15" fillId="0" borderId="0" xfId="0" applyNumberFormat="1" applyFont="1"/>
    <xf numFmtId="0" fontId="15" fillId="0" borderId="0" xfId="0" applyNumberFormat="1" applyFont="1"/>
    <xf numFmtId="1" fontId="15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Fill="1"/>
    <xf numFmtId="1" fontId="17" fillId="0" borderId="0" xfId="0" applyNumberFormat="1" applyFont="1"/>
    <xf numFmtId="164" fontId="4" fillId="0" borderId="0" xfId="1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5" borderId="9" xfId="0" applyFont="1" applyFill="1" applyBorder="1"/>
    <xf numFmtId="0" fontId="4" fillId="4" borderId="0" xfId="0" applyFont="1" applyFill="1" applyAlignment="1">
      <alignment horizontal="right" wrapText="1"/>
    </xf>
    <xf numFmtId="0" fontId="8" fillId="0" borderId="0" xfId="0" applyFont="1" applyFill="1" applyBorder="1"/>
    <xf numFmtId="0" fontId="0" fillId="7" borderId="0" xfId="0" applyFill="1"/>
    <xf numFmtId="0" fontId="4" fillId="7" borderId="0" xfId="0" applyFont="1" applyFill="1" applyAlignment="1"/>
    <xf numFmtId="1" fontId="0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20" fillId="0" borderId="0" xfId="0" applyFont="1"/>
    <xf numFmtId="165" fontId="10" fillId="0" borderId="0" xfId="1" applyNumberFormat="1" applyFont="1" applyFill="1"/>
    <xf numFmtId="1" fontId="4" fillId="0" borderId="0" xfId="0" applyNumberFormat="1" applyFont="1" applyFill="1"/>
    <xf numFmtId="0" fontId="5" fillId="0" borderId="0" xfId="0" applyFont="1" applyFill="1" applyAlignment="1">
      <alignment horizontal="right"/>
    </xf>
    <xf numFmtId="0" fontId="20" fillId="0" borderId="0" xfId="0" applyFont="1" applyFill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2" xfId="0" applyFont="1" applyBorder="1"/>
    <xf numFmtId="0" fontId="8" fillId="0" borderId="3" xfId="0" applyFont="1" applyBorder="1"/>
    <xf numFmtId="0" fontId="8" fillId="0" borderId="5" xfId="0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0" fillId="0" borderId="7" xfId="1" applyNumberFormat="1" applyFont="1" applyBorder="1"/>
    <xf numFmtId="0" fontId="8" fillId="0" borderId="8" xfId="0" applyFont="1" applyBorder="1"/>
    <xf numFmtId="0" fontId="0" fillId="0" borderId="6" xfId="1" applyNumberFormat="1" applyFont="1" applyBorder="1"/>
    <xf numFmtId="164" fontId="4" fillId="8" borderId="0" xfId="1" applyNumberFormat="1" applyFont="1" applyFill="1" applyAlignment="1">
      <alignment horizontal="right" wrapText="1"/>
    </xf>
    <xf numFmtId="0" fontId="0" fillId="8" borderId="0" xfId="0" applyFill="1" applyBorder="1"/>
    <xf numFmtId="0" fontId="0" fillId="8" borderId="4" xfId="0" applyFill="1" applyBorder="1"/>
    <xf numFmtId="0" fontId="0" fillId="0" borderId="2" xfId="0" applyNumberFormat="1" applyBorder="1"/>
    <xf numFmtId="0" fontId="0" fillId="0" borderId="0" xfId="0" applyNumberFormat="1" applyBorder="1"/>
    <xf numFmtId="0" fontId="8" fillId="0" borderId="0" xfId="0" applyNumberFormat="1" applyFont="1" applyBorder="1"/>
    <xf numFmtId="0" fontId="21" fillId="0" borderId="0" xfId="0" applyFont="1"/>
    <xf numFmtId="0" fontId="21" fillId="8" borderId="0" xfId="0" applyFont="1" applyFill="1"/>
    <xf numFmtId="1" fontId="10" fillId="8" borderId="0" xfId="0" applyNumberFormat="1" applyFont="1" applyFill="1"/>
    <xf numFmtId="0" fontId="0" fillId="6" borderId="0" xfId="0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</cellXfs>
  <cellStyles count="40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7"/>
  <sheetViews>
    <sheetView topLeftCell="AH5" workbookViewId="0">
      <selection activeCell="AS46" sqref="AS46"/>
    </sheetView>
  </sheetViews>
  <sheetFormatPr baseColWidth="10" defaultColWidth="8.83203125" defaultRowHeight="15" x14ac:dyDescent="0"/>
  <cols>
    <col min="1" max="1" width="21.1640625" customWidth="1"/>
    <col min="2" max="2" width="9.5" customWidth="1"/>
    <col min="3" max="3" width="8.33203125" customWidth="1"/>
    <col min="4" max="4" width="7.83203125" customWidth="1"/>
    <col min="5" max="5" width="8" customWidth="1"/>
    <col min="6" max="6" width="7.5" customWidth="1"/>
    <col min="7" max="7" width="9.1640625" customWidth="1"/>
    <col min="8" max="8" width="8.5" customWidth="1"/>
    <col min="9" max="9" width="7.5" customWidth="1"/>
    <col min="11" max="11" width="7.5" customWidth="1"/>
    <col min="13" max="14" width="7.83203125" customWidth="1"/>
    <col min="15" max="15" width="8.5" customWidth="1"/>
    <col min="16" max="16" width="8.33203125" customWidth="1"/>
    <col min="17" max="17" width="7.1640625" customWidth="1"/>
    <col min="18" max="18" width="6.33203125" customWidth="1"/>
    <col min="19" max="19" width="8" customWidth="1"/>
    <col min="20" max="20" width="6.5" customWidth="1"/>
    <col min="21" max="21" width="8" customWidth="1"/>
    <col min="22" max="22" width="8.33203125" style="35" customWidth="1"/>
    <col min="23" max="23" width="7.5" customWidth="1"/>
    <col min="24" max="24" width="8.6640625" style="35" customWidth="1"/>
    <col min="25" max="26" width="13.33203125" style="35" customWidth="1"/>
    <col min="27" max="27" width="8" customWidth="1"/>
    <col min="28" max="28" width="11.6640625" customWidth="1"/>
    <col min="29" max="29" width="11.6640625" style="35" customWidth="1"/>
    <col min="30" max="30" width="11.6640625" customWidth="1"/>
    <col min="33" max="33" width="4" customWidth="1"/>
    <col min="34" max="34" width="11.6640625" bestFit="1" customWidth="1"/>
    <col min="35" max="36" width="11.33203125" customWidth="1"/>
    <col min="37" max="37" width="4.6640625" customWidth="1"/>
    <col min="38" max="39" width="8.33203125" style="101" customWidth="1"/>
    <col min="41" max="41" width="3.83203125" style="68" customWidth="1"/>
    <col min="42" max="42" width="5.1640625" customWidth="1"/>
    <col min="43" max="43" width="11.1640625" customWidth="1"/>
    <col min="44" max="44" width="11.33203125" customWidth="1"/>
  </cols>
  <sheetData>
    <row r="1" spans="1:47" ht="18">
      <c r="A1" s="1" t="s">
        <v>76</v>
      </c>
      <c r="B1" s="11"/>
      <c r="C1" s="11"/>
      <c r="D1" s="47" t="s">
        <v>60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6" t="s">
        <v>45</v>
      </c>
      <c r="W1" s="1"/>
      <c r="X1" s="37"/>
      <c r="Y1" s="37"/>
      <c r="Z1" s="37"/>
      <c r="AA1" s="1"/>
      <c r="AB1" s="2"/>
      <c r="AC1" s="32"/>
      <c r="AD1" s="2"/>
      <c r="AE1" s="2"/>
      <c r="AF1" s="2"/>
      <c r="AG1" s="1"/>
      <c r="AH1" s="1"/>
      <c r="AI1" s="1"/>
      <c r="AJ1" s="1"/>
      <c r="AK1" s="1"/>
      <c r="AL1" s="19"/>
      <c r="AM1" s="19"/>
      <c r="AN1" s="1"/>
      <c r="AO1" s="67"/>
    </row>
    <row r="2" spans="1:47" ht="19" thickBot="1">
      <c r="A2" s="29"/>
      <c r="B2" s="1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2">
        <v>36</v>
      </c>
      <c r="W2" s="1"/>
      <c r="X2" s="37"/>
      <c r="Y2" s="37"/>
      <c r="Z2" s="37"/>
      <c r="AA2" s="1"/>
      <c r="AB2" s="2"/>
      <c r="AC2" s="32"/>
      <c r="AD2" s="2"/>
      <c r="AE2" s="2"/>
      <c r="AF2" s="2"/>
      <c r="AG2" s="1"/>
      <c r="AH2" s="1"/>
      <c r="AI2" s="1"/>
      <c r="AJ2" s="1"/>
      <c r="AK2" s="1"/>
      <c r="AL2" s="19"/>
      <c r="AM2" s="19"/>
      <c r="AN2" s="1"/>
      <c r="AO2" s="67"/>
      <c r="AR2" s="35" t="s">
        <v>73</v>
      </c>
    </row>
    <row r="3" spans="1:47" ht="18">
      <c r="A3" s="29" t="s">
        <v>23</v>
      </c>
      <c r="B3" s="12">
        <v>8.5</v>
      </c>
      <c r="C3" s="12">
        <v>8.5</v>
      </c>
      <c r="D3" s="13">
        <v>21.5</v>
      </c>
      <c r="E3" s="13">
        <v>33</v>
      </c>
      <c r="F3" s="13">
        <v>25</v>
      </c>
      <c r="G3" s="13">
        <v>88</v>
      </c>
      <c r="H3" s="13">
        <v>37</v>
      </c>
      <c r="I3" s="13">
        <v>92</v>
      </c>
      <c r="J3" s="13">
        <v>3.4</v>
      </c>
      <c r="K3" s="13">
        <v>98</v>
      </c>
      <c r="L3" s="13">
        <v>42</v>
      </c>
      <c r="M3" s="13">
        <v>35</v>
      </c>
      <c r="N3" s="29" t="s">
        <v>23</v>
      </c>
      <c r="O3" s="13">
        <v>5</v>
      </c>
      <c r="P3" s="13">
        <v>45</v>
      </c>
      <c r="Q3" s="38">
        <v>2.5</v>
      </c>
      <c r="R3" s="13"/>
      <c r="S3" s="13"/>
      <c r="T3" s="13"/>
      <c r="U3" s="13">
        <v>7</v>
      </c>
      <c r="V3" s="38">
        <v>25</v>
      </c>
      <c r="W3" s="13">
        <v>8</v>
      </c>
      <c r="X3" s="38">
        <v>95</v>
      </c>
      <c r="Y3" s="38"/>
      <c r="Z3" s="38"/>
      <c r="AA3" s="1"/>
      <c r="AB3" s="2"/>
      <c r="AC3" s="32"/>
      <c r="AD3" s="2"/>
      <c r="AE3" s="2"/>
      <c r="AF3" s="2"/>
      <c r="AG3" s="1"/>
      <c r="AI3" s="6" t="s">
        <v>34</v>
      </c>
      <c r="AJ3" s="6" t="s">
        <v>35</v>
      </c>
      <c r="AK3" s="1"/>
      <c r="AL3" s="19"/>
      <c r="AM3" s="19"/>
      <c r="AN3" s="1"/>
      <c r="AO3" s="67"/>
      <c r="AQ3" t="s">
        <v>72</v>
      </c>
      <c r="AR3" s="109">
        <v>0.6</v>
      </c>
    </row>
    <row r="4" spans="1:47" ht="18">
      <c r="A4" s="29" t="s">
        <v>24</v>
      </c>
      <c r="B4" s="12">
        <v>76.5</v>
      </c>
      <c r="C4" s="12">
        <v>76.5</v>
      </c>
      <c r="D4" s="13">
        <v>83</v>
      </c>
      <c r="E4" s="13">
        <v>93</v>
      </c>
      <c r="F4" s="13">
        <v>85</v>
      </c>
      <c r="G4" s="13">
        <v>88</v>
      </c>
      <c r="H4" s="13">
        <v>85</v>
      </c>
      <c r="I4" s="13">
        <v>85</v>
      </c>
      <c r="J4" s="13">
        <v>63.3</v>
      </c>
      <c r="K4" s="13">
        <v>80</v>
      </c>
      <c r="L4" s="13">
        <v>90</v>
      </c>
      <c r="M4" s="13">
        <v>85</v>
      </c>
      <c r="N4" s="29" t="s">
        <v>24</v>
      </c>
      <c r="O4" s="13">
        <v>96.6</v>
      </c>
      <c r="P4" s="13">
        <v>99</v>
      </c>
      <c r="Q4" s="38">
        <v>95</v>
      </c>
      <c r="R4" s="13"/>
      <c r="S4" s="13"/>
      <c r="T4" s="13"/>
      <c r="U4" s="13">
        <v>95</v>
      </c>
      <c r="V4" s="38">
        <v>95</v>
      </c>
      <c r="W4" s="13">
        <v>92</v>
      </c>
      <c r="X4" s="38">
        <v>90</v>
      </c>
      <c r="Y4" s="38"/>
      <c r="Z4" s="38"/>
      <c r="AA4" s="1"/>
      <c r="AB4" s="2"/>
      <c r="AC4" s="32"/>
      <c r="AD4" s="2"/>
      <c r="AE4" s="2"/>
      <c r="AF4" s="2"/>
      <c r="AG4" s="1"/>
      <c r="AH4" s="4" t="s">
        <v>64</v>
      </c>
      <c r="AI4" s="7">
        <v>106000</v>
      </c>
      <c r="AJ4" s="7">
        <v>317000</v>
      </c>
      <c r="AK4" s="1"/>
      <c r="AL4" s="19"/>
      <c r="AM4" s="19"/>
      <c r="AN4" s="1"/>
      <c r="AO4" s="67"/>
    </row>
    <row r="5" spans="1:47" ht="18">
      <c r="A5" s="29" t="s">
        <v>61</v>
      </c>
      <c r="B5" s="12">
        <v>19</v>
      </c>
      <c r="C5" s="12">
        <v>19</v>
      </c>
      <c r="D5" s="13">
        <v>20</v>
      </c>
      <c r="E5" s="13">
        <v>40</v>
      </c>
      <c r="F5" s="13">
        <v>15</v>
      </c>
      <c r="G5" s="13">
        <v>25</v>
      </c>
      <c r="H5" s="13">
        <v>15</v>
      </c>
      <c r="I5" s="13">
        <v>60</v>
      </c>
      <c r="J5" s="13">
        <v>2.7</v>
      </c>
      <c r="K5" s="13">
        <v>175</v>
      </c>
      <c r="L5" s="13">
        <v>20</v>
      </c>
      <c r="M5" s="13">
        <v>30</v>
      </c>
      <c r="N5" s="29" t="s">
        <v>25</v>
      </c>
      <c r="O5" s="13">
        <v>6</v>
      </c>
      <c r="P5" s="13">
        <v>100</v>
      </c>
      <c r="Q5" s="38">
        <v>75</v>
      </c>
      <c r="R5" s="13"/>
      <c r="S5" s="13"/>
      <c r="T5" s="13"/>
      <c r="U5" s="13">
        <v>20</v>
      </c>
      <c r="V5" s="38">
        <v>20</v>
      </c>
      <c r="W5" s="13">
        <v>20</v>
      </c>
      <c r="X5" s="38">
        <v>98</v>
      </c>
      <c r="Y5" s="38"/>
      <c r="Z5" s="38"/>
      <c r="AA5" s="1"/>
      <c r="AB5" s="2"/>
      <c r="AC5" s="32"/>
      <c r="AD5" s="2"/>
      <c r="AE5" s="2"/>
      <c r="AF5" s="2"/>
      <c r="AG5" s="1"/>
      <c r="AH5" s="4" t="s">
        <v>36</v>
      </c>
      <c r="AI5" s="105">
        <v>0.65</v>
      </c>
      <c r="AJ5" s="105">
        <v>1</v>
      </c>
      <c r="AK5" s="1"/>
      <c r="AL5" s="19"/>
      <c r="AM5" s="19"/>
      <c r="AN5" s="1"/>
      <c r="AO5" s="67"/>
      <c r="AR5" s="35" t="s">
        <v>73</v>
      </c>
    </row>
    <row r="6" spans="1:47" s="35" customFormat="1" ht="18">
      <c r="A6" s="5" t="s">
        <v>26</v>
      </c>
      <c r="B6" s="106">
        <v>1</v>
      </c>
      <c r="C6" s="106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5" t="s">
        <v>26</v>
      </c>
      <c r="O6" s="38">
        <v>1</v>
      </c>
      <c r="P6" s="38">
        <v>1</v>
      </c>
      <c r="Q6" s="38">
        <v>1</v>
      </c>
      <c r="R6" s="38"/>
      <c r="S6" s="38"/>
      <c r="T6" s="38"/>
      <c r="U6" s="38">
        <v>1</v>
      </c>
      <c r="V6" s="38">
        <v>1</v>
      </c>
      <c r="W6" s="38">
        <v>1</v>
      </c>
      <c r="X6" s="38">
        <v>1</v>
      </c>
      <c r="Y6" s="38"/>
      <c r="Z6" s="38"/>
      <c r="AA6" s="37"/>
      <c r="AB6" s="32"/>
      <c r="AC6" s="32"/>
      <c r="AD6" s="32"/>
      <c r="AE6" s="32"/>
      <c r="AF6" s="32"/>
      <c r="AG6" s="37"/>
      <c r="AH6" s="74" t="s">
        <v>65</v>
      </c>
      <c r="AI6" s="36">
        <f>AI4*AI5</f>
        <v>68900</v>
      </c>
      <c r="AJ6" s="36">
        <f>AJ4*AJ5</f>
        <v>317000</v>
      </c>
      <c r="AK6" s="37"/>
      <c r="AL6" s="107"/>
      <c r="AM6" s="107"/>
      <c r="AN6" s="37"/>
      <c r="AO6" s="108"/>
      <c r="AQ6" t="s">
        <v>58</v>
      </c>
      <c r="AR6" s="109">
        <v>0.38800000000000001</v>
      </c>
    </row>
    <row r="7" spans="1:47" ht="18">
      <c r="A7" s="29" t="s">
        <v>29</v>
      </c>
      <c r="B7" s="83">
        <v>1</v>
      </c>
      <c r="C7" s="83">
        <v>1</v>
      </c>
      <c r="D7" s="14">
        <v>1</v>
      </c>
      <c r="E7" s="14">
        <v>0.95</v>
      </c>
      <c r="F7" s="14">
        <v>0.95</v>
      </c>
      <c r="G7" s="14">
        <v>0.5</v>
      </c>
      <c r="H7" s="14">
        <v>0.75</v>
      </c>
      <c r="I7" s="14">
        <v>0.65</v>
      </c>
      <c r="J7" s="14">
        <v>1</v>
      </c>
      <c r="K7" s="14">
        <v>0.3</v>
      </c>
      <c r="L7" s="14">
        <v>0.6</v>
      </c>
      <c r="M7" s="14">
        <v>0.7</v>
      </c>
      <c r="N7" s="29" t="s">
        <v>29</v>
      </c>
      <c r="O7" s="14">
        <v>1</v>
      </c>
      <c r="P7" s="14">
        <v>1</v>
      </c>
      <c r="Q7" s="39">
        <v>1</v>
      </c>
      <c r="R7" s="14"/>
      <c r="S7" s="14"/>
      <c r="T7" s="14"/>
      <c r="U7" s="14">
        <v>1</v>
      </c>
      <c r="V7" s="39">
        <v>1</v>
      </c>
      <c r="W7" s="14">
        <v>1</v>
      </c>
      <c r="X7" s="39">
        <v>1</v>
      </c>
      <c r="Y7" s="39"/>
      <c r="Z7" s="39"/>
      <c r="AB7" s="3"/>
      <c r="AC7" s="33"/>
      <c r="AD7" s="3"/>
      <c r="AE7" s="3"/>
      <c r="AF7" s="3"/>
      <c r="AH7" s="4" t="s">
        <v>71</v>
      </c>
      <c r="AJ7" s="68" t="s">
        <v>68</v>
      </c>
      <c r="AQ7" s="134" t="s">
        <v>59</v>
      </c>
      <c r="AR7" s="134"/>
    </row>
    <row r="8" spans="1:47" ht="18">
      <c r="A8" s="48" t="s">
        <v>74</v>
      </c>
      <c r="B8" s="84">
        <v>320</v>
      </c>
      <c r="C8" s="84">
        <v>320</v>
      </c>
      <c r="D8" s="85">
        <v>300</v>
      </c>
      <c r="E8" s="85">
        <v>660</v>
      </c>
      <c r="F8" s="85">
        <v>550</v>
      </c>
      <c r="G8" s="86">
        <v>500</v>
      </c>
      <c r="H8" s="85">
        <v>450</v>
      </c>
      <c r="I8" s="87">
        <v>333</v>
      </c>
      <c r="J8" s="88">
        <v>0</v>
      </c>
      <c r="K8" s="87">
        <v>333</v>
      </c>
      <c r="L8" s="87">
        <v>333</v>
      </c>
      <c r="M8" s="85">
        <v>450</v>
      </c>
      <c r="N8" s="1"/>
      <c r="O8" s="89">
        <v>500</v>
      </c>
      <c r="P8" s="90">
        <v>800</v>
      </c>
      <c r="Q8" s="91">
        <v>800</v>
      </c>
      <c r="U8" s="90">
        <v>700</v>
      </c>
      <c r="V8" s="91">
        <v>700</v>
      </c>
      <c r="W8" s="92">
        <v>900</v>
      </c>
      <c r="X8" s="91">
        <v>900</v>
      </c>
      <c r="AB8" s="3"/>
      <c r="AC8" s="5"/>
      <c r="AD8" s="3"/>
      <c r="AE8" s="3"/>
      <c r="AF8" s="3"/>
      <c r="AH8" s="99"/>
      <c r="AI8" s="100" t="s">
        <v>37</v>
      </c>
      <c r="AJ8" s="100"/>
      <c r="AL8" s="135" t="s">
        <v>69</v>
      </c>
      <c r="AM8" s="135"/>
      <c r="AN8" s="135"/>
      <c r="AO8" s="135"/>
      <c r="AQ8" s="4" t="s">
        <v>54</v>
      </c>
      <c r="AR8" s="4" t="s">
        <v>54</v>
      </c>
    </row>
    <row r="9" spans="1:47">
      <c r="B9" s="136" t="s">
        <v>18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O9" s="137" t="s">
        <v>42</v>
      </c>
      <c r="P9" s="137"/>
      <c r="Q9" s="137"/>
      <c r="R9" s="137"/>
      <c r="S9" s="50"/>
      <c r="T9" s="50"/>
      <c r="U9" s="50"/>
      <c r="V9" s="50"/>
      <c r="W9" s="50"/>
      <c r="X9" s="50"/>
      <c r="Y9" s="138" t="s">
        <v>51</v>
      </c>
      <c r="Z9" s="138"/>
      <c r="AA9" s="5"/>
      <c r="AB9" s="49" t="s">
        <v>0</v>
      </c>
      <c r="AC9" s="50" t="s">
        <v>1</v>
      </c>
      <c r="AD9" s="5" t="s">
        <v>2</v>
      </c>
      <c r="AE9" s="49" t="s">
        <v>3</v>
      </c>
      <c r="AF9" s="50" t="s">
        <v>4</v>
      </c>
      <c r="AG9" s="4"/>
      <c r="AH9" s="4"/>
      <c r="AI9" s="6" t="s">
        <v>34</v>
      </c>
      <c r="AJ9" s="6" t="s">
        <v>35</v>
      </c>
      <c r="AK9" s="4"/>
      <c r="AL9" s="19"/>
      <c r="AM9" s="19"/>
      <c r="AN9" s="4" t="s">
        <v>39</v>
      </c>
      <c r="AO9" s="6"/>
      <c r="AQ9" s="4" t="s">
        <v>55</v>
      </c>
      <c r="AR9" s="4" t="s">
        <v>56</v>
      </c>
    </row>
    <row r="10" spans="1:47" ht="45">
      <c r="A10" s="6" t="s">
        <v>62</v>
      </c>
      <c r="B10" s="93" t="s">
        <v>6</v>
      </c>
      <c r="C10" s="94" t="s">
        <v>5</v>
      </c>
      <c r="D10" s="93" t="s">
        <v>7</v>
      </c>
      <c r="E10" s="93" t="s">
        <v>28</v>
      </c>
      <c r="F10" s="93" t="s">
        <v>27</v>
      </c>
      <c r="G10" s="93" t="s">
        <v>31</v>
      </c>
      <c r="H10" s="93" t="s">
        <v>32</v>
      </c>
      <c r="I10" s="93" t="s">
        <v>33</v>
      </c>
      <c r="J10" s="93" t="s">
        <v>8</v>
      </c>
      <c r="K10" s="93" t="s">
        <v>9</v>
      </c>
      <c r="L10" s="93" t="s">
        <v>30</v>
      </c>
      <c r="M10" s="93" t="s">
        <v>10</v>
      </c>
      <c r="N10" s="9" t="s">
        <v>62</v>
      </c>
      <c r="O10" s="94" t="s">
        <v>11</v>
      </c>
      <c r="P10" s="94" t="s">
        <v>44</v>
      </c>
      <c r="Q10" s="94" t="s">
        <v>12</v>
      </c>
      <c r="R10" s="94" t="s">
        <v>13</v>
      </c>
      <c r="S10" s="94" t="s">
        <v>14</v>
      </c>
      <c r="T10" s="94" t="s">
        <v>15</v>
      </c>
      <c r="U10" s="94" t="s">
        <v>43</v>
      </c>
      <c r="V10" s="95" t="s">
        <v>52</v>
      </c>
      <c r="W10" s="94" t="s">
        <v>22</v>
      </c>
      <c r="X10" s="95" t="s">
        <v>41</v>
      </c>
      <c r="Y10" s="97" t="s">
        <v>47</v>
      </c>
      <c r="Z10" s="97" t="s">
        <v>46</v>
      </c>
      <c r="AA10" s="6"/>
      <c r="AB10" s="29" t="s">
        <v>16</v>
      </c>
      <c r="AC10" s="5" t="s">
        <v>16</v>
      </c>
      <c r="AD10" s="29" t="s">
        <v>16</v>
      </c>
      <c r="AE10" s="3" t="s">
        <v>17</v>
      </c>
      <c r="AF10" s="3" t="s">
        <v>17</v>
      </c>
      <c r="AH10" s="6" t="s">
        <v>66</v>
      </c>
      <c r="AI10" s="4" t="s">
        <v>67</v>
      </c>
      <c r="AJ10" s="4" t="s">
        <v>67</v>
      </c>
      <c r="AL10" s="20" t="s">
        <v>25</v>
      </c>
      <c r="AM10" s="20" t="s">
        <v>26</v>
      </c>
      <c r="AN10" s="6" t="s">
        <v>38</v>
      </c>
      <c r="AO10" s="6" t="s">
        <v>26</v>
      </c>
      <c r="AQ10" s="6" t="s">
        <v>53</v>
      </c>
      <c r="AR10" s="6" t="s">
        <v>57</v>
      </c>
    </row>
    <row r="11" spans="1:47">
      <c r="A11">
        <v>1</v>
      </c>
      <c r="B11" s="21">
        <v>4000</v>
      </c>
      <c r="C11" s="22">
        <v>2000</v>
      </c>
      <c r="D11" s="22">
        <f>10*120</f>
        <v>1200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22">
        <v>4000</v>
      </c>
      <c r="K11" s="117">
        <v>0</v>
      </c>
      <c r="L11" s="117">
        <v>0</v>
      </c>
      <c r="M11" s="118">
        <v>0</v>
      </c>
      <c r="N11" s="8">
        <v>1</v>
      </c>
      <c r="O11" s="21">
        <v>900</v>
      </c>
      <c r="P11" s="22">
        <v>1000</v>
      </c>
      <c r="Q11" s="117">
        <v>0</v>
      </c>
      <c r="R11" s="22">
        <v>40</v>
      </c>
      <c r="S11" s="117">
        <v>0</v>
      </c>
      <c r="T11" s="117">
        <v>0</v>
      </c>
      <c r="U11" s="77">
        <v>0</v>
      </c>
      <c r="V11" s="23">
        <v>0</v>
      </c>
      <c r="W11" s="77">
        <v>0</v>
      </c>
      <c r="X11" s="117">
        <v>0</v>
      </c>
      <c r="Y11" s="117">
        <v>0</v>
      </c>
      <c r="Z11" s="111"/>
      <c r="AB11" s="10">
        <f t="shared" ref="AB11:AB41" si="0">SUM(B11:M11)</f>
        <v>11200</v>
      </c>
      <c r="AC11" s="34">
        <f>O11+P11+Q11+R11+U11+(V11*$V$2)+W11+X11+Y11</f>
        <v>1940</v>
      </c>
      <c r="AD11" s="10">
        <f t="shared" ref="AD11:AD41" si="1">SUM(AB11:AC11)</f>
        <v>13140</v>
      </c>
      <c r="AE11" s="72">
        <f t="shared" ref="AE11:AE41" si="2">(AB11*100)/AD11</f>
        <v>85.235920852359214</v>
      </c>
      <c r="AF11" s="72">
        <f t="shared" ref="AF11:AF41" si="3">(AC11*100)/AD11</f>
        <v>14.764079147640791</v>
      </c>
      <c r="AH11" s="70" t="e">
        <f>((B11*8.34*$B$7*($B$3/100))*($B$4/100))+((#REF!*8.34*$C$7*($C$3/100))*($C$4/100))+ ((D11*8.34*$D$7*($D$3/100))*($D$4/100))+((E11*8.34*$E$7*($E$3/100))*($E$4/100))+ ((F11*8.34*$F$7*($F$3/100))*($F$4/100))+((G11*8.34*$G$7*($G$3/100))*($G$4/100))+ ((H11*8.34*$H$7*($H$3/100))*($H$4/100))+((I11*8.34*$I$7*($I$3/100))*($I$4/100))+ ((J11*8.34*$J$7*($J$3/100))*($J$4/100))+((K11*8.34*$K$7*($K$3/100))*($K$4/100))+ ((L11*8.34*$L$7*($L$3/100))*($L$4/100))+((M11*8.34*$M$7*($M$3/100))*($M$4/100))+ ((O11*8.34*$O$7*($O$3/100))*($O$4/100))+((P11*8.34*$P$7*($P$3/100))*($P$4/100))+
((Q11*8.34*$Q$7*($Q$3/100))*($Q$4/100))+((R11*8.34*$R$7*($R$3/100))*($R$4/100))+
((U11*8.34*$U$7*($U$3/100))*($U$4/100))+(((V11*$V$2)*8.34*$V$7*($V$3/100))*($V$4/100))+
((W11*8.34*$W$7*($W$3/100))*($W$4/100))+((X11*8.34*$X$7*($X$3/100))*($X$4/100))</f>
        <v>#REF!</v>
      </c>
      <c r="AI11" s="17" t="e">
        <f t="shared" ref="AI11:AI41" si="4">AH11/$AI$6</f>
        <v>#REF!</v>
      </c>
      <c r="AJ11" s="17" t="e">
        <f t="shared" ref="AJ11:AJ41" si="5">AH11/$AJ$6</f>
        <v>#REF!</v>
      </c>
      <c r="AL11" s="102" t="e">
        <f>((((B11*8.34*$B$7*($B$3/100))*($B$4/100))/($B$5+$B$6))*$B$5)
+((((#REF!*8.34*$C$7*($C$3/100))*($C$4/100))/($C$5+$C$6))*$C$5)
+((((D11*8.34*$D$7*($D$3/100))*($D$4/100))/($D$5+$D$6))*$D$5)
+((((E11*8.34*$E$7*($E$3/100))*($E$4/100))/($E$5+$E$6))*$E$5)
+((((F11*8.34*$F$7*($F$3/100))*($F$4/100))/($F$5+$F$6))*$F$5)
+((((G11*8.34*$G$7*($G$3/100))*($G$4/100))/($G$5+$G$6))*$G$5)
+((((H11*8.34*$H$7*($H$3/100))*($H$4/100))/($H$5+$H$6))*$H$5)
+((((I11*8.34*$I$7*($I$3/100))*($I$4/100))/($I$5+$I$6))*$I$5)
+((((J11*8.34*$J$7*($J$3/100))*($J$4/100))/($J$5+$J$6))*$J$5)
+((((K11*8.34*$K$7*($K$3/100))*($K$4/100))/($K$5+$K$6))*$K$5)
+((((L11*8.34*$L$7*($L$3/100))*($L$4/100))/($L$5+$L$6))*$L$5)
+((((M11*8.34*$M$7*($M$3/100))*($M$4/100))/($M$5+$M$6))*$M$5)
+((((O11*8.34*$O$7*($O$3/100))*($O$4/100))/($O$5+$O$6))*$O$5)
+((((P11*8.34*$P$7*($P$3/100))*($P$4/100))/($P$5+$P$6))*$P$5)
+((((Q11*8.34*$Q$7*($Q$3/100))*($Q$4/100))/($Q$5+$Q$6))*$Q$5)
+((((U11*8.34*$U$7*($U$3/100))*($U$4/100))/($U$5+$U$6))*$U$5)
+(((((V11*$V$2)*8.34*$V$7*($V$3/100))*($V$4/100))/($V$5+$V$6))*$V$5)
+((((W11*8.34*$W$7*($W$3/100))*($W$4/100))/($W$5+$W$6))*$W$5)
+((((X11*8.34*$X$7*($X$3/100))*($X$4/100))/($X$5+$X$6))*$X$5)</f>
        <v>#REF!</v>
      </c>
      <c r="AM11" s="102" t="e">
        <f>((((B11*8.34*$B$7*($B$3/100))*($B$4/100))/($B$5+$B$6))*$B$6)
+((((#REF!*8.34*$C$7*($C$3/100))*($C$4/100))/($C$5+$C$6))*$C$6)
+((((D11*8.34*$D$7*($D$3/100))*($D$4/100))/($D$5+$D$6))*$D$6)
+((((E11*8.34*$E$7*($E$3/100))*($E$4/100))/($E$5+$E$6))*$E$6)
+((((F11*8.34*$F$7*($F$3/100))*($F$4/100))/($F$5+$F$6))*$F$6)
+((((G11*8.34*$G$7*($G$3/100))*($G$4/100))/($G$5+$G$6))*$G$6)
+((((H11*8.34*$H$7*($H$3/100))*($H$4/100))/($H$5+$H$6))*$H$6)
+((((I11*8.34*$I$7*($I$3/100))*($I$4/100))/($I$5+$I$6))*$I$6)
+((((J11*8.34*$J$7*($J$3/100))*($J$4/100))/($J$5+$J$6))*$J$6)
+((((K11*8.34*$K$7*($K$3/100))*($K$4/100))/($K$5+$K$6))*$K$6)
+((((L11*8.34*$L$7*($L$3/100))*($L$4/100))/($L$5+$L$6))*$L$6)
+((((M11*8.34*$M$7*($M$3/100))*($M$4/100))/($M$5+$M$6))*$M$6)
+((((O11*8.34*$O$7*($O$3/100))*($O$4/100))/($O$5+$O$6))*$O$6)
+((((P11*8.34*$P$7*($P$3/100))*($P$4/100))/($P$5+$P$6))*$P$6)
+((((Q11*8.34*$Q$7*($Q$3/100))*($Q$4/100))/($Q$5+$Q$6))*$Q$6)
+((((U11*8.34*$U$7*($U$3/100))*($U$4/100))/($U$5+$U$6))*$U$6)
+(((((V11*$V$2) *8.34*$V$7*($V$3/100))*($V$4/100))/($V$5+$V$6))*$V$6)
+((((W11*8.34*$W$7*($W$3/100))*($W$4/100))/($W$5+$W$6))*$W$6)
+((((X11*8.34*$X$7*($X$3/100))*($X$4/100))/($X$5+$X$6))*$X$6)</f>
        <v>#REF!</v>
      </c>
      <c r="AN11" s="46" t="e">
        <f>((AL11+AM11)/AM11)-1</f>
        <v>#REF!</v>
      </c>
      <c r="AO11" s="68">
        <v>1</v>
      </c>
      <c r="AQ11" s="18" t="e">
        <f>(B11*($B$3/100)*($B$4/100)*$B$7*8.34*0.000453592*$B$8)+
(#REF!*($C$3/100)*($C$4/100)*$C$7*8.34*0.000453592*$C$8)+
(D11*($D$3/100)*($D$4/100)*$D$7*8.34*0.000453592*$D$8)+
(E11*($E$3/100)*($E$4/100)*$E$7*8.34*0.000453592*$E$8)+
(F11*($F$3/100)*($F$4/100)*$F$7*8.34*0.000453592*$F$8)+
(G11*($G$3/100)*($G$4/100)*$G$7*8.34*0.000453592*$G$8)+
(H11*($H$3/100)*($H$4/100)*$H$7*8.34*0.000453592*$H$8)+
(I11*($I$3/100)*($I$4/100)*$I$7*8.34*0.000453592*$I$8)+
(J11*($J$3/100)*($J$4/100)*$J$7*8.34*0.000453592*$J$8)+
(K11*($K$3/100)*($K$4/100)*$K$7*8.34*0.000453592*$K$8)+
(L11*($L$3/100)*($L$4/100)*$L$7*8.34*0.000453592*$L$8)+
(M11*($M$3/100)*($M$4/100)*$M$7*8.34*0.000453592*$M$8)+
(O11*($O$3/100)*($O$4/100)*$O$7*8.34*0.000453592*$O$8)+
(P11*($P$3/100)*($P$4/100)*$P$7*8.34*0.000453592*$P$8)+
(Q11*($Q$3/100)*($Q$4/100)*$Q$7*8.34*0.000453592*$Q$8)+
(U11*($U$3/100)*($U$4/100)*$U$7*8.34*0.000453592*$U$8)+
(V11*$V$2*($V$3/100)*($BV$4/100)*$V$7*8.34*0.000453592*$V$8)+
(W11*($W$3/100)*($W$4/100)*$W$7*8.34*0.000453592*$W$8)+
(X11*($X$3/100)*($X$4/100)*$X$7*8.34*0.000453592*$X$8)</f>
        <v>#REF!</v>
      </c>
      <c r="AR11" s="18" t="e">
        <f>AQ11*$AR$3*10*$AR$6</f>
        <v>#REF!</v>
      </c>
      <c r="AU11" s="40"/>
    </row>
    <row r="12" spans="1:47">
      <c r="A12">
        <v>2</v>
      </c>
      <c r="B12" s="24">
        <v>4000</v>
      </c>
      <c r="C12" s="25">
        <v>2000</v>
      </c>
      <c r="D12" s="78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25">
        <v>2000</v>
      </c>
      <c r="K12" s="59">
        <v>0</v>
      </c>
      <c r="L12" s="59">
        <v>0</v>
      </c>
      <c r="M12" s="119">
        <v>0</v>
      </c>
      <c r="N12" s="8">
        <v>2</v>
      </c>
      <c r="O12" s="80">
        <v>0</v>
      </c>
      <c r="P12" s="25">
        <v>1000</v>
      </c>
      <c r="Q12" s="59">
        <v>0</v>
      </c>
      <c r="R12" s="25">
        <v>40</v>
      </c>
      <c r="S12" s="59">
        <v>0</v>
      </c>
      <c r="T12" s="59">
        <v>0</v>
      </c>
      <c r="U12" s="78">
        <v>0</v>
      </c>
      <c r="V12" s="98">
        <v>0</v>
      </c>
      <c r="W12" s="78">
        <v>0</v>
      </c>
      <c r="X12" s="59">
        <v>0</v>
      </c>
      <c r="Y12" s="59">
        <v>0</v>
      </c>
      <c r="Z12" s="113"/>
      <c r="AB12" s="10">
        <f t="shared" si="0"/>
        <v>8000</v>
      </c>
      <c r="AC12" s="34">
        <f>O12+P12+Q12+R12+U12+(V12*$V$2)+W12+X12+Y12</f>
        <v>1040</v>
      </c>
      <c r="AD12" s="10">
        <f t="shared" si="1"/>
        <v>9040</v>
      </c>
      <c r="AE12" s="72">
        <f t="shared" si="2"/>
        <v>88.495575221238937</v>
      </c>
      <c r="AF12" s="72">
        <f t="shared" si="3"/>
        <v>11.504424778761061</v>
      </c>
      <c r="AH12" s="70" t="e">
        <f>((B12*8.34*$B$7*($B$3/100))*($B$4/100))+((#REF!*8.34*$C$7*($C$3/100))*($C$4/100))+ ((D12*8.34*$D$7*($D$3/100))*($D$4/100))+((E12*8.34*$E$7*($E$3/100))*($E$4/100))+ ((F12*8.34*$F$7*($F$3/100))*($F$4/100))+((G12*8.34*$G$7*($G$3/100))*($G$4/100))+ ((H12*8.34*$H$7*($H$3/100))*($H$4/100))+((I12*8.34*$I$7*($I$3/100))*($I$4/100))+ ((J12*8.34*$J$7*($J$3/100))*($J$4/100))+((K12*8.34*$K$7*($K$3/100))*($K$4/100))+ ((L12*8.34*$L$7*($L$3/100))*($L$4/100))+((M12*8.34*$M$7*($M$3/100))*($M$4/100))+ ((O12*8.34*$O$7*($O$3/100))*($O$4/100))+((P12*8.34*$P$7*($P$3/100))*($P$4/100))+
((Q12*8.34*$Q$7*($Q$3/100))*($Q$4/100))+((R12*8.34*$R$7*($R$3/100))*($R$4/100))+
((U12*8.34*$U$7*($U$3/100))*($U$4/100))+(((V12*$V$2)*8.34*$V$7*($V$3/100))*($V$4/100))+
((W12*8.34*$W$7*($W$3/100))*($W$4/100))+((X12*8.34*$X$7*($X$3/100))*($X$4/100))</f>
        <v>#REF!</v>
      </c>
      <c r="AI12" s="17" t="e">
        <f t="shared" si="4"/>
        <v>#REF!</v>
      </c>
      <c r="AJ12" s="17" t="e">
        <f t="shared" si="5"/>
        <v>#REF!</v>
      </c>
      <c r="AL12" s="102" t="e">
        <f>((((B12*8.34*$B$7*($B$3/100))*($B$4/100))/($B$5+$B$6))*$B$5)
+((((#REF!*8.34*$C$7*($C$3/100))*($C$4/100))/($C$5+$C$6))*$C$5)
+((((D12*8.34*$D$7*($D$3/100))*($D$4/100))/($D$5+$D$6))*$D$5)
+((((E12*8.34*$E$7*($E$3/100))*($E$4/100))/($E$5+$E$6))*$E$5)
+((((F12*8.34*$F$7*($F$3/100))*($F$4/100))/($F$5+$F$6))*$F$5)
+((((G12*8.34*$G$7*($G$3/100))*($G$4/100))/($G$5+$G$6))*$G$5)
+((((H12*8.34*$H$7*($H$3/100))*($H$4/100))/($H$5+$H$6))*$H$5)
+((((I12*8.34*$I$7*($I$3/100))*($I$4/100))/($I$5+$I$6))*$I$5)
+((((J12*8.34*$J$7*($J$3/100))*($J$4/100))/($J$5+$J$6))*$J$5)
+((((K12*8.34*$K$7*($K$3/100))*($K$4/100))/($K$5+$K$6))*$K$5)
+((((L12*8.34*$L$7*($L$3/100))*($L$4/100))/($L$5+$L$6))*$L$5)
+((((M12*8.34*$M$7*($M$3/100))*($M$4/100))/($M$5+$M$6))*$M$5)
+((((O12*8.34*$O$7*($O$3/100))*($O$4/100))/($O$5+$O$6))*$O$5)
+((((P12*8.34*$P$7*($P$3/100))*($P$4/100))/($P$5+$P$6))*$P$5)
+((((Q12*8.34*$Q$7*($Q$3/100))*($Q$4/100))/($Q$5+$Q$6))*$Q$5)
+((((U12*8.34*$U$7*($U$3/100))*($U$4/100))/($U$5+$U$6))*$U$5)
+(((((V12*$V$2)*8.34*$V$7*($V$3/100))*($V$4/100))/($V$5+$V$6))*$V$5)
+((((W12*8.34*$W$7*($W$3/100))*($W$4/100))/($W$5+$W$6))*$W$5)
+((((X12*8.34*$X$7*($X$3/100))*($X$4/100))/($X$5+$X$6))*$X$5)</f>
        <v>#REF!</v>
      </c>
      <c r="AM12" s="102" t="e">
        <f>((((B12*8.34*$B$7*($B$3/100))*($B$4/100))/($B$5+$B$6))*$B$6)
+((((#REF!*8.34*$C$7*($C$3/100))*($C$4/100))/($C$5+$C$6))*$C$6)
+((((D12*8.34*$D$7*($D$3/100))*($D$4/100))/($D$5+$D$6))*$D$6)
+((((E12*8.34*$E$7*($E$3/100))*($E$4/100))/($E$5+$E$6))*$E$6)
+((((F12*8.34*$F$7*($F$3/100))*($F$4/100))/($F$5+$F$6))*$F$6)
+((((G12*8.34*$G$7*($G$3/100))*($G$4/100))/($G$5+$G$6))*$G$6)
+((((H12*8.34*$H$7*($H$3/100))*($H$4/100))/($H$5+$H$6))*$H$6)
+((((I12*8.34*$I$7*($I$3/100))*($I$4/100))/($I$5+$I$6))*$I$6)
+((((J12*8.34*$J$7*($J$3/100))*($J$4/100))/($J$5+$J$6))*$J$6)
+((((K12*8.34*$K$7*($K$3/100))*($K$4/100))/($K$5+$K$6))*$K$6)
+((((L12*8.34*$L$7*($L$3/100))*($L$4/100))/($L$5+$L$6))*$L$6)
+((((M12*8.34*$M$7*($M$3/100))*($M$4/100))/($M$5+$M$6))*$M$6)
+((((O12*8.34*$O$7*($O$3/100))*($O$4/100))/($O$5+$O$6))*$O$6)
+((((P12*8.34*$P$7*($P$3/100))*($P$4/100))/($P$5+$P$6))*$P$6)
+((((Q12*8.34*$Q$7*($Q$3/100))*($Q$4/100))/($Q$5+$Q$6))*$Q$6)
+((((U12*8.34*$U$7*($U$3/100))*($U$4/100))/($U$5+$U$6))*$U$6)
+(((((V12*$V$2) *8.34*$V$7*($V$3/100))*($V$4/100))/($V$5+$V$6))*$V$6)
+((((W12*8.34*$W$7*($W$3/100))*($W$4/100))/($W$5+$W$6))*$W$6)
+((((X12*8.34*$X$7*($X$3/100))*($X$4/100))/($X$5+$X$6))*$X$6)</f>
        <v>#REF!</v>
      </c>
      <c r="AN12" s="46" t="e">
        <f t="shared" ref="AN12:AN41" si="6">((AL12+AM12)/AM12)-1</f>
        <v>#REF!</v>
      </c>
      <c r="AO12" s="68">
        <v>1</v>
      </c>
      <c r="AQ12" s="18" t="e">
        <f>(B12*($B$3/100)*($B$4/100)*$B$7*8.34*0.000453592*$B$8)+
(#REF!*($C$3/100)*($C$4/100)*$C$7*8.34*0.000453592*$C$8)+
(D12*($D$3/100)*($D$4/100)*$D$7*8.34*0.000453592*$D$8)+
(E12*($E$3/100)*($E$4/100)*$E$7*8.34*0.000453592*$E$8)+
(F12*($F$3/100)*($F$4/100)*$F$7*8.34*0.000453592*$F$8)+
(G12*($G$3/100)*($G$4/100)*$G$7*8.34*0.000453592*$G$8)+
(H12*($H$3/100)*($H$4/100)*$H$7*8.34*0.000453592*$H$8)+
(I12*($I$3/100)*($I$4/100)*$I$7*8.34*0.000453592*$I$8)+
(J12*($J$3/100)*($J$4/100)*$J$7*8.34*0.000453592*$J$8)+
(K12*($K$3/100)*($K$4/100)*$K$7*8.34*0.000453592*$K$8)+
(L12*($L$3/100)*($L$4/100)*$L$7*8.34*0.000453592*$L$8)+
(M12*($M$3/100)*($M$4/100)*$M$7*8.34*0.000453592*$M$8)+
(O12*($O$3/100)*($O$4/100)*$O$7*8.34*0.000453592*$O$8)+
(P12*($P$3/100)*($P$4/100)*$P$7*8.34*0.000453592*$P$8)+
(Q12*($Q$3/100)*($Q$4/100)*$Q$7*8.34*0.000453592*$Q$8)+
(U12*($U$3/100)*($U$4/100)*$U$7*8.34*0.000453592*$U$8)+
(V12*$V$2*($V$3/100)*($BV$4/100)*$V$7*8.34*0.000453592*$V$8)+
(W12*($W$3/100)*($W$4/100)*$W$7*8.34*0.000453592*$W$8)+
(X12*($X$3/100)*($X$4/100)*$X$7*8.34*0.000453592*$X$8)</f>
        <v>#REF!</v>
      </c>
      <c r="AR12" s="18" t="e">
        <f t="shared" ref="AR12:AR41" si="7">AQ12*$AR$3*10*$AR$6</f>
        <v>#REF!</v>
      </c>
      <c r="AU12" s="40"/>
    </row>
    <row r="13" spans="1:47">
      <c r="A13">
        <v>3</v>
      </c>
      <c r="B13" s="24">
        <v>4000</v>
      </c>
      <c r="C13" s="25">
        <v>2000</v>
      </c>
      <c r="D13" s="25">
        <f>10*120</f>
        <v>1200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5">
        <f>2000+2000</f>
        <v>4000</v>
      </c>
      <c r="K13" s="59">
        <v>0</v>
      </c>
      <c r="L13" s="59">
        <v>0</v>
      </c>
      <c r="M13" s="119">
        <v>0</v>
      </c>
      <c r="N13" s="8">
        <v>3</v>
      </c>
      <c r="O13" s="80">
        <v>0</v>
      </c>
      <c r="P13" s="25">
        <v>1000</v>
      </c>
      <c r="Q13" s="59">
        <v>0</v>
      </c>
      <c r="R13" s="25">
        <v>30</v>
      </c>
      <c r="S13" s="59">
        <v>0</v>
      </c>
      <c r="T13" s="59">
        <v>0</v>
      </c>
      <c r="U13" s="78">
        <v>0</v>
      </c>
      <c r="V13" s="98">
        <v>0</v>
      </c>
      <c r="W13" s="78">
        <v>0</v>
      </c>
      <c r="X13" s="59">
        <v>0</v>
      </c>
      <c r="Y13" s="59">
        <v>0</v>
      </c>
      <c r="Z13" s="113"/>
      <c r="AB13" s="10">
        <f t="shared" si="0"/>
        <v>11200</v>
      </c>
      <c r="AC13" s="34">
        <f t="shared" ref="AC13:AC41" si="8">O13+P13+Q13+R13+U13+(V13*$V$2)+W13+X13+Y13</f>
        <v>1030</v>
      </c>
      <c r="AD13" s="10">
        <f t="shared" si="1"/>
        <v>12230</v>
      </c>
      <c r="AE13" s="72">
        <f t="shared" si="2"/>
        <v>91.578086672117749</v>
      </c>
      <c r="AF13" s="72">
        <f t="shared" si="3"/>
        <v>8.4219133278822564</v>
      </c>
      <c r="AH13" s="70" t="e">
        <f>((B13*8.34*$B$7*($B$3/100))*($B$4/100))+((#REF!*8.34*$C$7*($C$3/100))*($C$4/100))+ ((D13*8.34*$D$7*($D$3/100))*($D$4/100))+((E13*8.34*$E$7*($E$3/100))*($E$4/100))+ ((F13*8.34*$F$7*($F$3/100))*($F$4/100))+((G13*8.34*$G$7*($G$3/100))*($G$4/100))+ ((H13*8.34*$H$7*($H$3/100))*($H$4/100))+((I13*8.34*$I$7*($I$3/100))*($I$4/100))+ ((J13*8.34*$J$7*($J$3/100))*($J$4/100))+((K13*8.34*$K$7*($K$3/100))*($K$4/100))+ ((L13*8.34*$L$7*($L$3/100))*($L$4/100))+((M13*8.34*$M$7*($M$3/100))*($M$4/100))+ ((O13*8.34*$O$7*($O$3/100))*($O$4/100))+((P13*8.34*$P$7*($P$3/100))*($P$4/100))+
((Q13*8.34*$Q$7*($Q$3/100))*($Q$4/100))+((R13*8.34*$R$7*($R$3/100))*($R$4/100))+
((U13*8.34*$U$7*($U$3/100))*($U$4/100))+(((V13*$V$2)*8.34*$V$7*($V$3/100))*($V$4/100))+
((W13*8.34*$W$7*($W$3/100))*($W$4/100))+((X13*8.34*$X$7*($X$3/100))*($X$4/100))</f>
        <v>#REF!</v>
      </c>
      <c r="AI13" s="17" t="e">
        <f t="shared" si="4"/>
        <v>#REF!</v>
      </c>
      <c r="AJ13" s="17" t="e">
        <f t="shared" si="5"/>
        <v>#REF!</v>
      </c>
      <c r="AL13" s="102" t="e">
        <f>((((B13*8.34*$B$7*($B$3/100))*($B$4/100))/($B$5+$B$6))*$B$5)
+((((#REF!*8.34*$C$7*($C$3/100))*($C$4/100))/($C$5+$C$6))*$C$5)
+((((D13*8.34*$D$7*($D$3/100))*($D$4/100))/($D$5+$D$6))*$D$5)
+((((E13*8.34*$E$7*($E$3/100))*($E$4/100))/($E$5+$E$6))*$E$5)
+((((F13*8.34*$F$7*($F$3/100))*($F$4/100))/($F$5+$F$6))*$F$5)
+((((G13*8.34*$G$7*($G$3/100))*($G$4/100))/($G$5+$G$6))*$G$5)
+((((H13*8.34*$H$7*($H$3/100))*($H$4/100))/($H$5+$H$6))*$H$5)
+((((I13*8.34*$I$7*($I$3/100))*($I$4/100))/($I$5+$I$6))*$I$5)
+((((J13*8.34*$J$7*($J$3/100))*($J$4/100))/($J$5+$J$6))*$J$5)
+((((K13*8.34*$K$7*($K$3/100))*($K$4/100))/($K$5+$K$6))*$K$5)
+((((L13*8.34*$L$7*($L$3/100))*($L$4/100))/($L$5+$L$6))*$L$5)
+((((M13*8.34*$M$7*($M$3/100))*($M$4/100))/($M$5+$M$6))*$M$5)
+((((O13*8.34*$O$7*($O$3/100))*($O$4/100))/($O$5+$O$6))*$O$5)
+((((P13*8.34*$P$7*($P$3/100))*($P$4/100))/($P$5+$P$6))*$P$5)
+((((Q13*8.34*$Q$7*($Q$3/100))*($Q$4/100))/($Q$5+$Q$6))*$Q$5)
+((((U13*8.34*$U$7*($U$3/100))*($U$4/100))/($U$5+$U$6))*$U$5)
+(((((V13*$V$2)*8.34*$V$7*($V$3/100))*($V$4/100))/($V$5+$V$6))*$V$5)
+((((W13*8.34*$W$7*($W$3/100))*($W$4/100))/($W$5+$W$6))*$W$5)
+((((X13*8.34*$X$7*($X$3/100))*($X$4/100))/($X$5+$X$6))*$X$5)</f>
        <v>#REF!</v>
      </c>
      <c r="AM13" s="102" t="e">
        <f>((((B13*8.34*$B$7*($B$3/100))*($B$4/100))/($B$5+$B$6))*$B$6)
+((((#REF!*8.34*$C$7*($C$3/100))*($C$4/100))/($C$5+$C$6))*$C$6)
+((((D13*8.34*$D$7*($D$3/100))*($D$4/100))/($D$5+$D$6))*$D$6)
+((((E13*8.34*$E$7*($E$3/100))*($E$4/100))/($E$5+$E$6))*$E$6)
+((((F13*8.34*$F$7*($F$3/100))*($F$4/100))/($F$5+$F$6))*$F$6)
+((((G13*8.34*$G$7*($G$3/100))*($G$4/100))/($G$5+$G$6))*$G$6)
+((((H13*8.34*$H$7*($H$3/100))*($H$4/100))/($H$5+$H$6))*$H$6)
+((((I13*8.34*$I$7*($I$3/100))*($I$4/100))/($I$5+$I$6))*$I$6)
+((((J13*8.34*$J$7*($J$3/100))*($J$4/100))/($J$5+$J$6))*$J$6)
+((((K13*8.34*$K$7*($K$3/100))*($K$4/100))/($K$5+$K$6))*$K$6)
+((((L13*8.34*$L$7*($L$3/100))*($L$4/100))/($L$5+$L$6))*$L$6)
+((((M13*8.34*$M$7*($M$3/100))*($M$4/100))/($M$5+$M$6))*$M$6)
+((((O13*8.34*$O$7*($O$3/100))*($O$4/100))/($O$5+$O$6))*$O$6)
+((((P13*8.34*$P$7*($P$3/100))*($P$4/100))/($P$5+$P$6))*$P$6)
+((((Q13*8.34*$Q$7*($Q$3/100))*($Q$4/100))/($Q$5+$Q$6))*$Q$6)
+((((U13*8.34*$U$7*($U$3/100))*($U$4/100))/($U$5+$U$6))*$U$6)
+(((((V13*$V$2) *8.34*$V$7*($V$3/100))*($V$4/100))/($V$5+$V$6))*$V$6)
+((((W13*8.34*$W$7*($W$3/100))*($W$4/100))/($W$5+$W$6))*$W$6)
+((((X13*8.34*$X$7*($X$3/100))*($X$4/100))/($X$5+$X$6))*$X$6)</f>
        <v>#REF!</v>
      </c>
      <c r="AN13" s="46" t="e">
        <f t="shared" si="6"/>
        <v>#REF!</v>
      </c>
      <c r="AO13" s="68">
        <v>1</v>
      </c>
      <c r="AQ13" s="18" t="e">
        <f>(B13*($B$3/100)*($B$4/100)*$B$7*8.34*0.000453592*$B$8)+
(#REF!*($C$3/100)*($C$4/100)*$C$7*8.34*0.000453592*$C$8)+
(D13*($D$3/100)*($D$4/100)*$D$7*8.34*0.000453592*$D$8)+
(E13*($E$3/100)*($E$4/100)*$E$7*8.34*0.000453592*$E$8)+
(F13*($F$3/100)*($F$4/100)*$F$7*8.34*0.000453592*$F$8)+
(G13*($G$3/100)*($G$4/100)*$G$7*8.34*0.000453592*$G$8)+
(H13*($H$3/100)*($H$4/100)*$H$7*8.34*0.000453592*$H$8)+
(I13*($I$3/100)*($I$4/100)*$I$7*8.34*0.000453592*$I$8)+
(J13*($J$3/100)*($J$4/100)*$J$7*8.34*0.000453592*$J$8)+
(K13*($K$3/100)*($K$4/100)*$K$7*8.34*0.000453592*$K$8)+
(L13*($L$3/100)*($L$4/100)*$L$7*8.34*0.000453592*$L$8)+
(M13*($M$3/100)*($M$4/100)*$M$7*8.34*0.000453592*$M$8)+
(O13*($O$3/100)*($O$4/100)*$O$7*8.34*0.000453592*$O$8)+
(P13*($P$3/100)*($P$4/100)*$P$7*8.34*0.000453592*$P$8)+
(Q13*($Q$3/100)*($Q$4/100)*$Q$7*8.34*0.000453592*$Q$8)+
(U13*($U$3/100)*($U$4/100)*$U$7*8.34*0.000453592*$U$8)+
(V13*$V$2*($V$3/100)*($BV$4/100)*$V$7*8.34*0.000453592*$V$8)+
(W13*($W$3/100)*($W$4/100)*$W$7*8.34*0.000453592*$W$8)+
(X13*($X$3/100)*($X$4/100)*$X$7*8.34*0.000453592*$X$8)</f>
        <v>#REF!</v>
      </c>
      <c r="AR13" s="18" t="e">
        <f t="shared" si="7"/>
        <v>#REF!</v>
      </c>
      <c r="AU13" s="40"/>
    </row>
    <row r="14" spans="1:47">
      <c r="A14">
        <v>4</v>
      </c>
      <c r="B14" s="24">
        <v>4000</v>
      </c>
      <c r="C14" s="25">
        <v>2000</v>
      </c>
      <c r="D14" s="7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25">
        <v>4000</v>
      </c>
      <c r="K14" s="59">
        <v>0</v>
      </c>
      <c r="L14" s="59">
        <v>0</v>
      </c>
      <c r="M14" s="119">
        <v>0</v>
      </c>
      <c r="N14" s="8">
        <v>4</v>
      </c>
      <c r="O14" s="24">
        <v>3500</v>
      </c>
      <c r="P14" s="25">
        <v>1000</v>
      </c>
      <c r="Q14" s="59">
        <v>0</v>
      </c>
      <c r="R14" s="25">
        <v>40</v>
      </c>
      <c r="S14" s="59">
        <v>0</v>
      </c>
      <c r="T14" s="59">
        <v>0</v>
      </c>
      <c r="U14" s="78">
        <v>0</v>
      </c>
      <c r="V14" s="98">
        <v>0</v>
      </c>
      <c r="W14" s="25">
        <f>325*2</f>
        <v>650</v>
      </c>
      <c r="X14" s="59">
        <v>0</v>
      </c>
      <c r="Y14" s="59">
        <v>0</v>
      </c>
      <c r="Z14" s="113"/>
      <c r="AB14" s="10">
        <f t="shared" si="0"/>
        <v>10000</v>
      </c>
      <c r="AC14" s="34">
        <f t="shared" si="8"/>
        <v>5190</v>
      </c>
      <c r="AD14" s="10">
        <f t="shared" si="1"/>
        <v>15190</v>
      </c>
      <c r="AE14" s="72">
        <f t="shared" si="2"/>
        <v>65.832784726793946</v>
      </c>
      <c r="AF14" s="72">
        <f t="shared" si="3"/>
        <v>34.167215273206054</v>
      </c>
      <c r="AH14" s="70" t="e">
        <f>((B14*8.34*$B$7*($B$3/100))*($B$4/100))+((#REF!*8.34*$C$7*($C$3/100))*($C$4/100))+ ((D14*8.34*$D$7*($D$3/100))*($D$4/100))+((E14*8.34*$E$7*($E$3/100))*($E$4/100))+ ((F14*8.34*$F$7*($F$3/100))*($F$4/100))+((G14*8.34*$G$7*($G$3/100))*($G$4/100))+ ((H14*8.34*$H$7*($H$3/100))*($H$4/100))+((I14*8.34*$I$7*($I$3/100))*($I$4/100))+ ((J14*8.34*$J$7*($J$3/100))*($J$4/100))+((K14*8.34*$K$7*($K$3/100))*($K$4/100))+ ((L14*8.34*$L$7*($L$3/100))*($L$4/100))+((M14*8.34*$M$7*($M$3/100))*($M$4/100))+ ((O14*8.34*$O$7*($O$3/100))*($O$4/100))+((P14*8.34*$P$7*($P$3/100))*($P$4/100))+
((Q14*8.34*$Q$7*($Q$3/100))*($Q$4/100))+((R14*8.34*$R$7*($R$3/100))*($R$4/100))+
((U14*8.34*$U$7*($U$3/100))*($U$4/100))+(((V14*$V$2)*8.34*$V$7*($V$3/100))*($V$4/100))+
((W14*8.34*$W$7*($W$3/100))*($W$4/100))+((X14*8.34*$X$7*($X$3/100))*($X$4/100))</f>
        <v>#REF!</v>
      </c>
      <c r="AI14" s="17" t="e">
        <f t="shared" si="4"/>
        <v>#REF!</v>
      </c>
      <c r="AJ14" s="17" t="e">
        <f t="shared" si="5"/>
        <v>#REF!</v>
      </c>
      <c r="AL14" s="102" t="e">
        <f>((((B14*8.34*$B$7*($B$3/100))*($B$4/100))/($B$5+$B$6))*$B$5)
+((((#REF!*8.34*$C$7*($C$3/100))*($C$4/100))/($C$5+$C$6))*$C$5)
+((((D14*8.34*$D$7*($D$3/100))*($D$4/100))/($D$5+$D$6))*$D$5)
+((((E14*8.34*$E$7*($E$3/100))*($E$4/100))/($E$5+$E$6))*$E$5)
+((((F14*8.34*$F$7*($F$3/100))*($F$4/100))/($F$5+$F$6))*$F$5)
+((((G14*8.34*$G$7*($G$3/100))*($G$4/100))/($G$5+$G$6))*$G$5)
+((((H14*8.34*$H$7*($H$3/100))*($H$4/100))/($H$5+$H$6))*$H$5)
+((((I14*8.34*$I$7*($I$3/100))*($I$4/100))/($I$5+$I$6))*$I$5)
+((((J14*8.34*$J$7*($J$3/100))*($J$4/100))/($J$5+$J$6))*$J$5)
+((((K14*8.34*$K$7*($K$3/100))*($K$4/100))/($K$5+$K$6))*$K$5)
+((((L14*8.34*$L$7*($L$3/100))*($L$4/100))/($L$5+$L$6))*$L$5)
+((((M14*8.34*$M$7*($M$3/100))*($M$4/100))/($M$5+$M$6))*$M$5)
+((((O14*8.34*$O$7*($O$3/100))*($O$4/100))/($O$5+$O$6))*$O$5)
+((((P14*8.34*$P$7*($P$3/100))*($P$4/100))/($P$5+$P$6))*$P$5)
+((((Q14*8.34*$Q$7*($Q$3/100))*($Q$4/100))/($Q$5+$Q$6))*$Q$5)
+((((U14*8.34*$U$7*($U$3/100))*($U$4/100))/($U$5+$U$6))*$U$5)
+(((((V14*$V$2)*8.34*$V$7*($V$3/100))*($V$4/100))/($V$5+$V$6))*$V$5)
+((((W14*8.34*$W$7*($W$3/100))*($W$4/100))/($W$5+$W$6))*$W$5)
+((((X14*8.34*$X$7*($X$3/100))*($X$4/100))/($X$5+$X$6))*$X$5)</f>
        <v>#REF!</v>
      </c>
      <c r="AM14" s="102" t="e">
        <f>((((B14*8.34*$B$7*($B$3/100))*($B$4/100))/($B$5+$B$6))*$B$6)
+((((#REF!*8.34*$C$7*($C$3/100))*($C$4/100))/($C$5+$C$6))*$C$6)
+((((D14*8.34*$D$7*($D$3/100))*($D$4/100))/($D$5+$D$6))*$D$6)
+((((E14*8.34*$E$7*($E$3/100))*($E$4/100))/($E$5+$E$6))*$E$6)
+((((F14*8.34*$F$7*($F$3/100))*($F$4/100))/($F$5+$F$6))*$F$6)
+((((G14*8.34*$G$7*($G$3/100))*($G$4/100))/($G$5+$G$6))*$G$6)
+((((H14*8.34*$H$7*($H$3/100))*($H$4/100))/($H$5+$H$6))*$H$6)
+((((I14*8.34*$I$7*($I$3/100))*($I$4/100))/($I$5+$I$6))*$I$6)
+((((J14*8.34*$J$7*($J$3/100))*($J$4/100))/($J$5+$J$6))*$J$6)
+((((K14*8.34*$K$7*($K$3/100))*($K$4/100))/($K$5+$K$6))*$K$6)
+((((L14*8.34*$L$7*($L$3/100))*($L$4/100))/($L$5+$L$6))*$L$6)
+((((M14*8.34*$M$7*($M$3/100))*($M$4/100))/($M$5+$M$6))*$M$6)
+((((O14*8.34*$O$7*($O$3/100))*($O$4/100))/($O$5+$O$6))*$O$6)
+((((P14*8.34*$P$7*($P$3/100))*($P$4/100))/($P$5+$P$6))*$P$6)
+((((Q14*8.34*$Q$7*($Q$3/100))*($Q$4/100))/($Q$5+$Q$6))*$Q$6)
+((((U14*8.34*$U$7*($U$3/100))*($U$4/100))/($U$5+$U$6))*$U$6)
+(((((V14*$V$2) *8.34*$V$7*($V$3/100))*($V$4/100))/($V$5+$V$6))*$V$6)
+((((W14*8.34*$W$7*($W$3/100))*($W$4/100))/($W$5+$W$6))*$W$6)
+((((X14*8.34*$X$7*($X$3/100))*($X$4/100))/($X$5+$X$6))*$X$6)</f>
        <v>#REF!</v>
      </c>
      <c r="AN14" s="46" t="e">
        <f t="shared" si="6"/>
        <v>#REF!</v>
      </c>
      <c r="AO14" s="68">
        <v>1</v>
      </c>
      <c r="AQ14" s="18" t="e">
        <f>(B14*($B$3/100)*($B$4/100)*$B$7*8.34*0.000453592*$B$8)+
(#REF!*($C$3/100)*($C$4/100)*$C$7*8.34*0.000453592*$C$8)+
(D14*($D$3/100)*($D$4/100)*$D$7*8.34*0.000453592*$D$8)+
(E14*($E$3/100)*($E$4/100)*$E$7*8.34*0.000453592*$E$8)+
(F14*($F$3/100)*($F$4/100)*$F$7*8.34*0.000453592*$F$8)+
(G14*($G$3/100)*($G$4/100)*$G$7*8.34*0.000453592*$G$8)+
(H14*($H$3/100)*($H$4/100)*$H$7*8.34*0.000453592*$H$8)+
(I14*($I$3/100)*($I$4/100)*$I$7*8.34*0.000453592*$I$8)+
(J14*($J$3/100)*($J$4/100)*$J$7*8.34*0.000453592*$J$8)+
(K14*($K$3/100)*($K$4/100)*$K$7*8.34*0.000453592*$K$8)+
(L14*($L$3/100)*($L$4/100)*$L$7*8.34*0.000453592*$L$8)+
(M14*($M$3/100)*($M$4/100)*$M$7*8.34*0.000453592*$M$8)+
(O14*($O$3/100)*($O$4/100)*$O$7*8.34*0.000453592*$O$8)+
(P14*($P$3/100)*($P$4/100)*$P$7*8.34*0.000453592*$P$8)+
(Q14*($Q$3/100)*($Q$4/100)*$Q$7*8.34*0.000453592*$Q$8)+
(U14*($U$3/100)*($U$4/100)*$U$7*8.34*0.000453592*$U$8)+
(V14*$V$2*($V$3/100)*($BV$4/100)*$V$7*8.34*0.000453592*$V$8)+
(W14*($W$3/100)*($W$4/100)*$W$7*8.34*0.000453592*$W$8)+
(X14*($X$3/100)*($X$4/100)*$X$7*8.34*0.000453592*$X$8)</f>
        <v>#REF!</v>
      </c>
      <c r="AR14" s="18" t="e">
        <f t="shared" si="7"/>
        <v>#REF!</v>
      </c>
      <c r="AU14" s="40"/>
    </row>
    <row r="15" spans="1:47">
      <c r="A15">
        <v>5</v>
      </c>
      <c r="B15" s="24">
        <v>4000</v>
      </c>
      <c r="C15" s="25">
        <v>2000</v>
      </c>
      <c r="D15" s="7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25">
        <v>5000</v>
      </c>
      <c r="K15" s="59">
        <v>0</v>
      </c>
      <c r="L15" s="59">
        <v>0</v>
      </c>
      <c r="M15" s="119">
        <v>0</v>
      </c>
      <c r="N15" s="8">
        <v>5</v>
      </c>
      <c r="O15" s="24">
        <v>900</v>
      </c>
      <c r="P15" s="25">
        <v>200</v>
      </c>
      <c r="Q15" s="59">
        <v>0</v>
      </c>
      <c r="R15" s="25">
        <v>40</v>
      </c>
      <c r="S15" s="59">
        <v>0</v>
      </c>
      <c r="T15" s="59">
        <v>0</v>
      </c>
      <c r="U15" s="78">
        <v>0</v>
      </c>
      <c r="V15" s="98">
        <v>0</v>
      </c>
      <c r="W15" s="78">
        <v>0</v>
      </c>
      <c r="X15" s="59">
        <v>0</v>
      </c>
      <c r="Y15" s="59">
        <v>0</v>
      </c>
      <c r="Z15" s="113"/>
      <c r="AB15" s="10">
        <f t="shared" si="0"/>
        <v>11000</v>
      </c>
      <c r="AC15" s="34">
        <f t="shared" si="8"/>
        <v>1140</v>
      </c>
      <c r="AD15" s="10">
        <f t="shared" si="1"/>
        <v>12140</v>
      </c>
      <c r="AE15" s="72">
        <f t="shared" si="2"/>
        <v>90.609555189456344</v>
      </c>
      <c r="AF15" s="72">
        <f t="shared" si="3"/>
        <v>9.3904448105436575</v>
      </c>
      <c r="AH15" s="70" t="e">
        <f>((B15*8.34*$B$7*($B$3/100))*($B$4/100))+((#REF!*8.34*$C$7*($C$3/100))*($C$4/100))+ ((D15*8.34*$D$7*($D$3/100))*($D$4/100))+((E15*8.34*$E$7*($E$3/100))*($E$4/100))+ ((F15*8.34*$F$7*($F$3/100))*($F$4/100))+((G15*8.34*$G$7*($G$3/100))*($G$4/100))+ ((H15*8.34*$H$7*($H$3/100))*($H$4/100))+((I15*8.34*$I$7*($I$3/100))*($I$4/100))+ ((J15*8.34*$J$7*($J$3/100))*($J$4/100))+((K15*8.34*$K$7*($K$3/100))*($K$4/100))+ ((L15*8.34*$L$7*($L$3/100))*($L$4/100))+((M15*8.34*$M$7*($M$3/100))*($M$4/100))+ ((O15*8.34*$O$7*($O$3/100))*($O$4/100))+((P15*8.34*$P$7*($P$3/100))*($P$4/100))+
((Q15*8.34*$Q$7*($Q$3/100))*($Q$4/100))+((R15*8.34*$R$7*($R$3/100))*($R$4/100))+
((U15*8.34*$U$7*($U$3/100))*($U$4/100))+(((V15*$V$2)*8.34*$V$7*($V$3/100))*($V$4/100))+
((W15*8.34*$W$7*($W$3/100))*($W$4/100))+((X15*8.34*$X$7*($X$3/100))*($X$4/100))</f>
        <v>#REF!</v>
      </c>
      <c r="AI15" s="17" t="e">
        <f t="shared" si="4"/>
        <v>#REF!</v>
      </c>
      <c r="AJ15" s="17" t="e">
        <f t="shared" si="5"/>
        <v>#REF!</v>
      </c>
      <c r="AL15" s="102" t="e">
        <f>((((B15*8.34*$B$7*($B$3/100))*($B$4/100))/($B$5+$B$6))*$B$5)
+((((#REF!*8.34*$C$7*($C$3/100))*($C$4/100))/($C$5+$C$6))*$C$5)
+((((D15*8.34*$D$7*($D$3/100))*($D$4/100))/($D$5+$D$6))*$D$5)
+((((E15*8.34*$E$7*($E$3/100))*($E$4/100))/($E$5+$E$6))*$E$5)
+((((F15*8.34*$F$7*($F$3/100))*($F$4/100))/($F$5+$F$6))*$F$5)
+((((G15*8.34*$G$7*($G$3/100))*($G$4/100))/($G$5+$G$6))*$G$5)
+((((H15*8.34*$H$7*($H$3/100))*($H$4/100))/($H$5+$H$6))*$H$5)
+((((I15*8.34*$I$7*($I$3/100))*($I$4/100))/($I$5+$I$6))*$I$5)
+((((J15*8.34*$J$7*($J$3/100))*($J$4/100))/($J$5+$J$6))*$J$5)
+((((K15*8.34*$K$7*($K$3/100))*($K$4/100))/($K$5+$K$6))*$K$5)
+((((L15*8.34*$L$7*($L$3/100))*($L$4/100))/($L$5+$L$6))*$L$5)
+((((M15*8.34*$M$7*($M$3/100))*($M$4/100))/($M$5+$M$6))*$M$5)
+((((O15*8.34*$O$7*($O$3/100))*($O$4/100))/($O$5+$O$6))*$O$5)
+((((P15*8.34*$P$7*($P$3/100))*($P$4/100))/($P$5+$P$6))*$P$5)
+((((Q15*8.34*$Q$7*($Q$3/100))*($Q$4/100))/($Q$5+$Q$6))*$Q$5)
+((((U15*8.34*$U$7*($U$3/100))*($U$4/100))/($U$5+$U$6))*$U$5)
+(((((V15*$V$2)*8.34*$V$7*($V$3/100))*($V$4/100))/($V$5+$V$6))*$V$5)
+((((W15*8.34*$W$7*($W$3/100))*($W$4/100))/($W$5+$W$6))*$W$5)
+((((X15*8.34*$X$7*($X$3/100))*($X$4/100))/($X$5+$X$6))*$X$5)</f>
        <v>#REF!</v>
      </c>
      <c r="AM15" s="102" t="e">
        <f>((((B15*8.34*$B$7*($B$3/100))*($B$4/100))/($B$5+$B$6))*$B$6)
+((((#REF!*8.34*$C$7*($C$3/100))*($C$4/100))/($C$5+$C$6))*$C$6)
+((((D15*8.34*$D$7*($D$3/100))*($D$4/100))/($D$5+$D$6))*$D$6)
+((((E15*8.34*$E$7*($E$3/100))*($E$4/100))/($E$5+$E$6))*$E$6)
+((((F15*8.34*$F$7*($F$3/100))*($F$4/100))/($F$5+$F$6))*$F$6)
+((((G15*8.34*$G$7*($G$3/100))*($G$4/100))/($G$5+$G$6))*$G$6)
+((((H15*8.34*$H$7*($H$3/100))*($H$4/100))/($H$5+$H$6))*$H$6)
+((((I15*8.34*$I$7*($I$3/100))*($I$4/100))/($I$5+$I$6))*$I$6)
+((((J15*8.34*$J$7*($J$3/100))*($J$4/100))/($J$5+$J$6))*$J$6)
+((((K15*8.34*$K$7*($K$3/100))*($K$4/100))/($K$5+$K$6))*$K$6)
+((((L15*8.34*$L$7*($L$3/100))*($L$4/100))/($L$5+$L$6))*$L$6)
+((((M15*8.34*$M$7*($M$3/100))*($M$4/100))/($M$5+$M$6))*$M$6)
+((((O15*8.34*$O$7*($O$3/100))*($O$4/100))/($O$5+$O$6))*$O$6)
+((((P15*8.34*$P$7*($P$3/100))*($P$4/100))/($P$5+$P$6))*$P$6)
+((((Q15*8.34*$Q$7*($Q$3/100))*($Q$4/100))/($Q$5+$Q$6))*$Q$6)
+((((U15*8.34*$U$7*($U$3/100))*($U$4/100))/($U$5+$U$6))*$U$6)
+(((((V15*$V$2) *8.34*$V$7*($V$3/100))*($V$4/100))/($V$5+$V$6))*$V$6)
+((((W15*8.34*$W$7*($W$3/100))*($W$4/100))/($W$5+$W$6))*$W$6)
+((((X15*8.34*$X$7*($X$3/100))*($X$4/100))/($X$5+$X$6))*$X$6)</f>
        <v>#REF!</v>
      </c>
      <c r="AN15" s="46" t="e">
        <f t="shared" si="6"/>
        <v>#REF!</v>
      </c>
      <c r="AO15" s="68">
        <v>1</v>
      </c>
      <c r="AQ15" s="18" t="e">
        <f>(B15*($B$3/100)*($B$4/100)*$B$7*8.34*0.000453592*$B$8)+
(#REF!*($C$3/100)*($C$4/100)*$C$7*8.34*0.000453592*$C$8)+
(D15*($D$3/100)*($D$4/100)*$D$7*8.34*0.000453592*$D$8)+
(E15*($E$3/100)*($E$4/100)*$E$7*8.34*0.000453592*$E$8)+
(F15*($F$3/100)*($F$4/100)*$F$7*8.34*0.000453592*$F$8)+
(G15*($G$3/100)*($G$4/100)*$G$7*8.34*0.000453592*$G$8)+
(H15*($H$3/100)*($H$4/100)*$H$7*8.34*0.000453592*$H$8)+
(I15*($I$3/100)*($I$4/100)*$I$7*8.34*0.000453592*$I$8)+
(J15*($J$3/100)*($J$4/100)*$J$7*8.34*0.000453592*$J$8)+
(K15*($K$3/100)*($K$4/100)*$K$7*8.34*0.000453592*$K$8)+
(L15*($L$3/100)*($L$4/100)*$L$7*8.34*0.000453592*$L$8)+
(M15*($M$3/100)*($M$4/100)*$M$7*8.34*0.000453592*$M$8)+
(O15*($O$3/100)*($O$4/100)*$O$7*8.34*0.000453592*$O$8)+
(P15*($P$3/100)*($P$4/100)*$P$7*8.34*0.000453592*$P$8)+
(Q15*($Q$3/100)*($Q$4/100)*$Q$7*8.34*0.000453592*$Q$8)+
(U15*($U$3/100)*($U$4/100)*$U$7*8.34*0.000453592*$U$8)+
(V15*$V$2*($V$3/100)*($BV$4/100)*$V$7*8.34*0.000453592*$V$8)+
(W15*($W$3/100)*($W$4/100)*$W$7*8.34*0.000453592*$W$8)+
(X15*($X$3/100)*($X$4/100)*$X$7*8.34*0.000453592*$X$8)</f>
        <v>#REF!</v>
      </c>
      <c r="AR15" s="18" t="e">
        <f t="shared" si="7"/>
        <v>#REF!</v>
      </c>
      <c r="AU15" s="40"/>
    </row>
    <row r="16" spans="1:47">
      <c r="A16">
        <v>6</v>
      </c>
      <c r="B16" s="24">
        <v>4000</v>
      </c>
      <c r="C16" s="25">
        <v>2000</v>
      </c>
      <c r="D16" s="7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5">
        <v>5000</v>
      </c>
      <c r="K16" s="59">
        <v>0</v>
      </c>
      <c r="L16" s="59">
        <v>0</v>
      </c>
      <c r="M16" s="119">
        <v>0</v>
      </c>
      <c r="N16" s="8">
        <v>6</v>
      </c>
      <c r="O16" s="24">
        <v>1000</v>
      </c>
      <c r="P16" s="25">
        <v>150</v>
      </c>
      <c r="Q16" s="59">
        <v>0</v>
      </c>
      <c r="R16" s="25">
        <v>40</v>
      </c>
      <c r="S16" s="59">
        <v>0</v>
      </c>
      <c r="T16" s="59">
        <v>0</v>
      </c>
      <c r="U16" s="25">
        <v>750</v>
      </c>
      <c r="V16" s="98">
        <v>0</v>
      </c>
      <c r="W16" s="25">
        <f>325+325</f>
        <v>650</v>
      </c>
      <c r="X16" s="59">
        <v>0</v>
      </c>
      <c r="Y16" s="59">
        <v>0</v>
      </c>
      <c r="Z16" s="113"/>
      <c r="AB16" s="10">
        <f t="shared" si="0"/>
        <v>11000</v>
      </c>
      <c r="AC16" s="34">
        <f t="shared" si="8"/>
        <v>2590</v>
      </c>
      <c r="AD16" s="10">
        <f t="shared" si="1"/>
        <v>13590</v>
      </c>
      <c r="AE16" s="72">
        <f t="shared" si="2"/>
        <v>80.941869021339215</v>
      </c>
      <c r="AF16" s="72">
        <f t="shared" si="3"/>
        <v>19.058130978660781</v>
      </c>
      <c r="AH16" s="70" t="e">
        <f>((B16*8.34*$B$7*($B$3/100))*($B$4/100))+((#REF!*8.34*$C$7*($C$3/100))*($C$4/100))+ ((D16*8.34*$D$7*($D$3/100))*($D$4/100))+((E16*8.34*$E$7*($E$3/100))*($E$4/100))+ ((F16*8.34*$F$7*($F$3/100))*($F$4/100))+((G16*8.34*$G$7*($G$3/100))*($G$4/100))+ ((H16*8.34*$H$7*($H$3/100))*($H$4/100))+((I16*8.34*$I$7*($I$3/100))*($I$4/100))+ ((J16*8.34*$J$7*($J$3/100))*($J$4/100))+((K16*8.34*$K$7*($K$3/100))*($K$4/100))+ ((L16*8.34*$L$7*($L$3/100))*($L$4/100))+((M16*8.34*$M$7*($M$3/100))*($M$4/100))+ ((O16*8.34*$O$7*($O$3/100))*($O$4/100))+((P16*8.34*$P$7*($P$3/100))*($P$4/100))+
((Q16*8.34*$Q$7*($Q$3/100))*($Q$4/100))+((R16*8.34*$R$7*($R$3/100))*($R$4/100))+
((U16*8.34*$U$7*($U$3/100))*($U$4/100))+(((V16*$V$2)*8.34*$V$7*($V$3/100))*($V$4/100))+
((W16*8.34*$W$7*($W$3/100))*($W$4/100))+((X16*8.34*$X$7*($X$3/100))*($X$4/100))</f>
        <v>#REF!</v>
      </c>
      <c r="AI16" s="17" t="e">
        <f t="shared" si="4"/>
        <v>#REF!</v>
      </c>
      <c r="AJ16" s="17" t="e">
        <f t="shared" si="5"/>
        <v>#REF!</v>
      </c>
      <c r="AL16" s="102" t="e">
        <f>((((B16*8.34*$B$7*($B$3/100))*($B$4/100))/($B$5+$B$6))*$B$5)
+((((#REF!*8.34*$C$7*($C$3/100))*($C$4/100))/($C$5+$C$6))*$C$5)
+((((D16*8.34*$D$7*($D$3/100))*($D$4/100))/($D$5+$D$6))*$D$5)
+((((E16*8.34*$E$7*($E$3/100))*($E$4/100))/($E$5+$E$6))*$E$5)
+((((F16*8.34*$F$7*($F$3/100))*($F$4/100))/($F$5+$F$6))*$F$5)
+((((G16*8.34*$G$7*($G$3/100))*($G$4/100))/($G$5+$G$6))*$G$5)
+((((H16*8.34*$H$7*($H$3/100))*($H$4/100))/($H$5+$H$6))*$H$5)
+((((I16*8.34*$I$7*($I$3/100))*($I$4/100))/($I$5+$I$6))*$I$5)
+((((J16*8.34*$J$7*($J$3/100))*($J$4/100))/($J$5+$J$6))*$J$5)
+((((K16*8.34*$K$7*($K$3/100))*($K$4/100))/($K$5+$K$6))*$K$5)
+((((L16*8.34*$L$7*($L$3/100))*($L$4/100))/($L$5+$L$6))*$L$5)
+((((M16*8.34*$M$7*($M$3/100))*($M$4/100))/($M$5+$M$6))*$M$5)
+((((O16*8.34*$O$7*($O$3/100))*($O$4/100))/($O$5+$O$6))*$O$5)
+((((P16*8.34*$P$7*($P$3/100))*($P$4/100))/($P$5+$P$6))*$P$5)
+((((Q16*8.34*$Q$7*($Q$3/100))*($Q$4/100))/($Q$5+$Q$6))*$Q$5)
+((((U16*8.34*$U$7*($U$3/100))*($U$4/100))/($U$5+$U$6))*$U$5)
+(((((V16*$V$2)*8.34*$V$7*($V$3/100))*($V$4/100))/($V$5+$V$6))*$V$5)
+((((W16*8.34*$W$7*($W$3/100))*($W$4/100))/($W$5+$W$6))*$W$5)
+((((X16*8.34*$X$7*($X$3/100))*($X$4/100))/($X$5+$X$6))*$X$5)</f>
        <v>#REF!</v>
      </c>
      <c r="AM16" s="102" t="e">
        <f>((((B16*8.34*$B$7*($B$3/100))*($B$4/100))/($B$5+$B$6))*$B$6)
+((((#REF!*8.34*$C$7*($C$3/100))*($C$4/100))/($C$5+$C$6))*$C$6)
+((((D16*8.34*$D$7*($D$3/100))*($D$4/100))/($D$5+$D$6))*$D$6)
+((((E16*8.34*$E$7*($E$3/100))*($E$4/100))/($E$5+$E$6))*$E$6)
+((((F16*8.34*$F$7*($F$3/100))*($F$4/100))/($F$5+$F$6))*$F$6)
+((((G16*8.34*$G$7*($G$3/100))*($G$4/100))/($G$5+$G$6))*$G$6)
+((((H16*8.34*$H$7*($H$3/100))*($H$4/100))/($H$5+$H$6))*$H$6)
+((((I16*8.34*$I$7*($I$3/100))*($I$4/100))/($I$5+$I$6))*$I$6)
+((((J16*8.34*$J$7*($J$3/100))*($J$4/100))/($J$5+$J$6))*$J$6)
+((((K16*8.34*$K$7*($K$3/100))*($K$4/100))/($K$5+$K$6))*$K$6)
+((((L16*8.34*$L$7*($L$3/100))*($L$4/100))/($L$5+$L$6))*$L$6)
+((((M16*8.34*$M$7*($M$3/100))*($M$4/100))/($M$5+$M$6))*$M$6)
+((((O16*8.34*$O$7*($O$3/100))*($O$4/100))/($O$5+$O$6))*$O$6)
+((((P16*8.34*$P$7*($P$3/100))*($P$4/100))/($P$5+$P$6))*$P$6)
+((((Q16*8.34*$Q$7*($Q$3/100))*($Q$4/100))/($Q$5+$Q$6))*$Q$6)
+((((U16*8.34*$U$7*($U$3/100))*($U$4/100))/($U$5+$U$6))*$U$6)
+(((((V16*$V$2) *8.34*$V$7*($V$3/100))*($V$4/100))/($V$5+$V$6))*$V$6)
+((((W16*8.34*$W$7*($W$3/100))*($W$4/100))/($W$5+$W$6))*$W$6)
+((((X16*8.34*$X$7*($X$3/100))*($X$4/100))/($X$5+$X$6))*$X$6)</f>
        <v>#REF!</v>
      </c>
      <c r="AN16" s="46" t="e">
        <f t="shared" si="6"/>
        <v>#REF!</v>
      </c>
      <c r="AO16" s="68">
        <v>1</v>
      </c>
      <c r="AQ16" s="18" t="e">
        <f>(B16*($B$3/100)*($B$4/100)*$B$7*8.34*0.000453592*$B$8)+
(#REF!*($C$3/100)*($C$4/100)*$C$7*8.34*0.000453592*$C$8)+
(D16*($D$3/100)*($D$4/100)*$D$7*8.34*0.000453592*$D$8)+
(E16*($E$3/100)*($E$4/100)*$E$7*8.34*0.000453592*$E$8)+
(F16*($F$3/100)*($F$4/100)*$F$7*8.34*0.000453592*$F$8)+
(G16*($G$3/100)*($G$4/100)*$G$7*8.34*0.000453592*$G$8)+
(H16*($H$3/100)*($H$4/100)*$H$7*8.34*0.000453592*$H$8)+
(I16*($I$3/100)*($I$4/100)*$I$7*8.34*0.000453592*$I$8)+
(J16*($J$3/100)*($J$4/100)*$J$7*8.34*0.000453592*$J$8)+
(K16*($K$3/100)*($K$4/100)*$K$7*8.34*0.000453592*$K$8)+
(L16*($L$3/100)*($L$4/100)*$L$7*8.34*0.000453592*$L$8)+
(M16*($M$3/100)*($M$4/100)*$M$7*8.34*0.000453592*$M$8)+
(O16*($O$3/100)*($O$4/100)*$O$7*8.34*0.000453592*$O$8)+
(P16*($P$3/100)*($P$4/100)*$P$7*8.34*0.000453592*$P$8)+
(Q16*($Q$3/100)*($Q$4/100)*$Q$7*8.34*0.000453592*$Q$8)+
(U16*($U$3/100)*($U$4/100)*$U$7*8.34*0.000453592*$U$8)+
(V16*$V$2*($V$3/100)*($BV$4/100)*$V$7*8.34*0.000453592*$V$8)+
(W16*($W$3/100)*($W$4/100)*$W$7*8.34*0.000453592*$W$8)+
(X16*($X$3/100)*($X$4/100)*$X$7*8.34*0.000453592*$X$8)</f>
        <v>#REF!</v>
      </c>
      <c r="AR16" s="18" t="e">
        <f t="shared" si="7"/>
        <v>#REF!</v>
      </c>
      <c r="AU16" s="40"/>
    </row>
    <row r="17" spans="1:47">
      <c r="A17">
        <v>7</v>
      </c>
      <c r="B17" s="24">
        <v>4000</v>
      </c>
      <c r="C17" s="25">
        <v>2000</v>
      </c>
      <c r="D17" s="25">
        <f>10*120</f>
        <v>1200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25">
        <v>4000</v>
      </c>
      <c r="K17" s="59">
        <v>0</v>
      </c>
      <c r="L17" s="59">
        <v>0</v>
      </c>
      <c r="M17" s="119">
        <v>0</v>
      </c>
      <c r="N17" s="8">
        <v>7</v>
      </c>
      <c r="O17" s="24">
        <v>900</v>
      </c>
      <c r="P17" s="78">
        <v>0</v>
      </c>
      <c r="Q17" s="59">
        <v>0</v>
      </c>
      <c r="R17" s="25">
        <v>40</v>
      </c>
      <c r="S17" s="59">
        <v>0</v>
      </c>
      <c r="T17" s="59">
        <v>0</v>
      </c>
      <c r="U17" s="25">
        <v>1000</v>
      </c>
      <c r="V17" s="98">
        <v>0</v>
      </c>
      <c r="W17" s="78">
        <v>0</v>
      </c>
      <c r="X17" s="59">
        <v>0</v>
      </c>
      <c r="Y17" s="59">
        <v>0</v>
      </c>
      <c r="Z17" s="113"/>
      <c r="AB17" s="10">
        <f t="shared" si="0"/>
        <v>11200</v>
      </c>
      <c r="AC17" s="34">
        <f t="shared" si="8"/>
        <v>1940</v>
      </c>
      <c r="AD17" s="10">
        <f t="shared" si="1"/>
        <v>13140</v>
      </c>
      <c r="AE17" s="72">
        <f t="shared" si="2"/>
        <v>85.235920852359214</v>
      </c>
      <c r="AF17" s="72">
        <f t="shared" si="3"/>
        <v>14.764079147640791</v>
      </c>
      <c r="AH17" s="70" t="e">
        <f>((B17*8.34*$B$7*($B$3/100))*($B$4/100))+((#REF!*8.34*$C$7*($C$3/100))*($C$4/100))+ ((D17*8.34*$D$7*($D$3/100))*($D$4/100))+((E17*8.34*$E$7*($E$3/100))*($E$4/100))+ ((F17*8.34*$F$7*($F$3/100))*($F$4/100))+((G17*8.34*$G$7*($G$3/100))*($G$4/100))+ ((H17*8.34*$H$7*($H$3/100))*($H$4/100))+((I17*8.34*$I$7*($I$3/100))*($I$4/100))+ ((J17*8.34*$J$7*($J$3/100))*($J$4/100))+((K17*8.34*$K$7*($K$3/100))*($K$4/100))+ ((L17*8.34*$L$7*($L$3/100))*($L$4/100))+((M17*8.34*$M$7*($M$3/100))*($M$4/100))+ ((O17*8.34*$O$7*($O$3/100))*($O$4/100))+((P17*8.34*$P$7*($P$3/100))*($P$4/100))+
((Q17*8.34*$Q$7*($Q$3/100))*($Q$4/100))+((R17*8.34*$R$7*($R$3/100))*($R$4/100))+
((U17*8.34*$U$7*($U$3/100))*($U$4/100))+(((V17*$V$2)*8.34*$V$7*($V$3/100))*($V$4/100))+
((W17*8.34*$W$7*($W$3/100))*($W$4/100))+((X17*8.34*$X$7*($X$3/100))*($X$4/100))</f>
        <v>#REF!</v>
      </c>
      <c r="AI17" s="17" t="e">
        <f t="shared" si="4"/>
        <v>#REF!</v>
      </c>
      <c r="AJ17" s="17" t="e">
        <f t="shared" si="5"/>
        <v>#REF!</v>
      </c>
      <c r="AL17" s="102" t="e">
        <f>((((B17*8.34*$B$7*($B$3/100))*($B$4/100))/($B$5+$B$6))*$B$5)
+((((#REF!*8.34*$C$7*($C$3/100))*($C$4/100))/($C$5+$C$6))*$C$5)
+((((D17*8.34*$D$7*($D$3/100))*($D$4/100))/($D$5+$D$6))*$D$5)
+((((E17*8.34*$E$7*($E$3/100))*($E$4/100))/($E$5+$E$6))*$E$5)
+((((F17*8.34*$F$7*($F$3/100))*($F$4/100))/($F$5+$F$6))*$F$5)
+((((G17*8.34*$G$7*($G$3/100))*($G$4/100))/($G$5+$G$6))*$G$5)
+((((H17*8.34*$H$7*($H$3/100))*($H$4/100))/($H$5+$H$6))*$H$5)
+((((I17*8.34*$I$7*($I$3/100))*($I$4/100))/($I$5+$I$6))*$I$5)
+((((J17*8.34*$J$7*($J$3/100))*($J$4/100))/($J$5+$J$6))*$J$5)
+((((K17*8.34*$K$7*($K$3/100))*($K$4/100))/($K$5+$K$6))*$K$5)
+((((L17*8.34*$L$7*($L$3/100))*($L$4/100))/($L$5+$L$6))*$L$5)
+((((M17*8.34*$M$7*($M$3/100))*($M$4/100))/($M$5+$M$6))*$M$5)
+((((O17*8.34*$O$7*($O$3/100))*($O$4/100))/($O$5+$O$6))*$O$5)
+((((P17*8.34*$P$7*($P$3/100))*($P$4/100))/($P$5+$P$6))*$P$5)
+((((Q17*8.34*$Q$7*($Q$3/100))*($Q$4/100))/($Q$5+$Q$6))*$Q$5)
+((((U17*8.34*$U$7*($U$3/100))*($U$4/100))/($U$5+$U$6))*$U$5)
+(((((V17*$V$2)*8.34*$V$7*($V$3/100))*($V$4/100))/($V$5+$V$6))*$V$5)
+((((W17*8.34*$W$7*($W$3/100))*($W$4/100))/($W$5+$W$6))*$W$5)
+((((X17*8.34*$X$7*($X$3/100))*($X$4/100))/($X$5+$X$6))*$X$5)</f>
        <v>#REF!</v>
      </c>
      <c r="AM17" s="102" t="e">
        <f>((((B17*8.34*$B$7*($B$3/100))*($B$4/100))/($B$5+$B$6))*$B$6)
+((((#REF!*8.34*$C$7*($C$3/100))*($C$4/100))/($C$5+$C$6))*$C$6)
+((((D17*8.34*$D$7*($D$3/100))*($D$4/100))/($D$5+$D$6))*$D$6)
+((((E17*8.34*$E$7*($E$3/100))*($E$4/100))/($E$5+$E$6))*$E$6)
+((((F17*8.34*$F$7*($F$3/100))*($F$4/100))/($F$5+$F$6))*$F$6)
+((((G17*8.34*$G$7*($G$3/100))*($G$4/100))/($G$5+$G$6))*$G$6)
+((((H17*8.34*$H$7*($H$3/100))*($H$4/100))/($H$5+$H$6))*$H$6)
+((((I17*8.34*$I$7*($I$3/100))*($I$4/100))/($I$5+$I$6))*$I$6)
+((((J17*8.34*$J$7*($J$3/100))*($J$4/100))/($J$5+$J$6))*$J$6)
+((((K17*8.34*$K$7*($K$3/100))*($K$4/100))/($K$5+$K$6))*$K$6)
+((((L17*8.34*$L$7*($L$3/100))*($L$4/100))/($L$5+$L$6))*$L$6)
+((((M17*8.34*$M$7*($M$3/100))*($M$4/100))/($M$5+$M$6))*$M$6)
+((((O17*8.34*$O$7*($O$3/100))*($O$4/100))/($O$5+$O$6))*$O$6)
+((((P17*8.34*$P$7*($P$3/100))*($P$4/100))/($P$5+$P$6))*$P$6)
+((((Q17*8.34*$Q$7*($Q$3/100))*($Q$4/100))/($Q$5+$Q$6))*$Q$6)
+((((U17*8.34*$U$7*($U$3/100))*($U$4/100))/($U$5+$U$6))*$U$6)
+(((((V17*$V$2) *8.34*$V$7*($V$3/100))*($V$4/100))/($V$5+$V$6))*$V$6)
+((((W17*8.34*$W$7*($W$3/100))*($W$4/100))/($W$5+$W$6))*$W$6)
+((((X17*8.34*$X$7*($X$3/100))*($X$4/100))/($X$5+$X$6))*$X$6)</f>
        <v>#REF!</v>
      </c>
      <c r="AN17" s="46" t="e">
        <f t="shared" si="6"/>
        <v>#REF!</v>
      </c>
      <c r="AO17" s="68">
        <v>1</v>
      </c>
      <c r="AQ17" s="18" t="e">
        <f>(B17*($B$3/100)*($B$4/100)*$B$7*8.34*0.000453592*$B$8)+
(#REF!*($C$3/100)*($C$4/100)*$C$7*8.34*0.000453592*$C$8)+
(D17*($D$3/100)*($D$4/100)*$D$7*8.34*0.000453592*$D$8)+
(E17*($E$3/100)*($E$4/100)*$E$7*8.34*0.000453592*$E$8)+
(F17*($F$3/100)*($F$4/100)*$F$7*8.34*0.000453592*$F$8)+
(G17*($G$3/100)*($G$4/100)*$G$7*8.34*0.000453592*$G$8)+
(H17*($H$3/100)*($H$4/100)*$H$7*8.34*0.000453592*$H$8)+
(I17*($I$3/100)*($I$4/100)*$I$7*8.34*0.000453592*$I$8)+
(J17*($J$3/100)*($J$4/100)*$J$7*8.34*0.000453592*$J$8)+
(K17*($K$3/100)*($K$4/100)*$K$7*8.34*0.000453592*$K$8)+
(L17*($L$3/100)*($L$4/100)*$L$7*8.34*0.000453592*$L$8)+
(M17*($M$3/100)*($M$4/100)*$M$7*8.34*0.000453592*$M$8)+
(O17*($O$3/100)*($O$4/100)*$O$7*8.34*0.000453592*$O$8)+
(P17*($P$3/100)*($P$4/100)*$P$7*8.34*0.000453592*$P$8)+
(Q17*($Q$3/100)*($Q$4/100)*$Q$7*8.34*0.000453592*$Q$8)+
(U17*($U$3/100)*($U$4/100)*$U$7*8.34*0.000453592*$U$8)+
(V17*$V$2*($V$3/100)*($BV$4/100)*$V$7*8.34*0.000453592*$V$8)+
(W17*($W$3/100)*($W$4/100)*$W$7*8.34*0.000453592*$W$8)+
(X17*($X$3/100)*($X$4/100)*$X$7*8.34*0.000453592*$X$8)</f>
        <v>#REF!</v>
      </c>
      <c r="AR17" s="18" t="e">
        <f t="shared" si="7"/>
        <v>#REF!</v>
      </c>
      <c r="AU17" s="40"/>
    </row>
    <row r="18" spans="1:47">
      <c r="A18">
        <v>8</v>
      </c>
      <c r="B18" s="24">
        <v>4000</v>
      </c>
      <c r="C18" s="25">
        <v>2000</v>
      </c>
      <c r="D18" s="25">
        <f>10*120</f>
        <v>1200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78">
        <v>0</v>
      </c>
      <c r="K18" s="59">
        <v>0</v>
      </c>
      <c r="L18" s="59">
        <v>0</v>
      </c>
      <c r="M18" s="119">
        <v>0</v>
      </c>
      <c r="N18" s="8">
        <v>8</v>
      </c>
      <c r="O18" s="24">
        <f>800+4000</f>
        <v>4800</v>
      </c>
      <c r="P18" s="78">
        <v>0</v>
      </c>
      <c r="Q18" s="59">
        <v>0</v>
      </c>
      <c r="R18" s="25">
        <v>40</v>
      </c>
      <c r="S18" s="59">
        <v>0</v>
      </c>
      <c r="T18" s="59">
        <v>0</v>
      </c>
      <c r="U18" s="25">
        <v>1000</v>
      </c>
      <c r="V18" s="98">
        <v>0</v>
      </c>
      <c r="W18" s="25">
        <f>325*3</f>
        <v>975</v>
      </c>
      <c r="X18" s="59">
        <v>0</v>
      </c>
      <c r="Y18" s="59">
        <v>0</v>
      </c>
      <c r="Z18" s="113"/>
      <c r="AB18" s="10">
        <f t="shared" si="0"/>
        <v>7200</v>
      </c>
      <c r="AC18" s="34">
        <f t="shared" si="8"/>
        <v>6815</v>
      </c>
      <c r="AD18" s="10">
        <f t="shared" si="1"/>
        <v>14015</v>
      </c>
      <c r="AE18" s="72">
        <f t="shared" si="2"/>
        <v>51.373528362468782</v>
      </c>
      <c r="AF18" s="72">
        <f t="shared" si="3"/>
        <v>48.626471637531218</v>
      </c>
      <c r="AH18" s="70" t="e">
        <f>((B18*8.34*$B$7*($B$3/100))*($B$4/100))+((#REF!*8.34*$C$7*($C$3/100))*($C$4/100))+ ((D18*8.34*$D$7*($D$3/100))*($D$4/100))+((E18*8.34*$E$7*($E$3/100))*($E$4/100))+ ((F18*8.34*$F$7*($F$3/100))*($F$4/100))+((G18*8.34*$G$7*($G$3/100))*($G$4/100))+ ((H18*8.34*$H$7*($H$3/100))*($H$4/100))+((I18*8.34*$I$7*($I$3/100))*($I$4/100))+ ((J18*8.34*$J$7*($J$3/100))*($J$4/100))+((K18*8.34*$K$7*($K$3/100))*($K$4/100))+ ((L18*8.34*$L$7*($L$3/100))*($L$4/100))+((M18*8.34*$M$7*($M$3/100))*($M$4/100))+ ((O18*8.34*$O$7*($O$3/100))*($O$4/100))+((P18*8.34*$P$7*($P$3/100))*($P$4/100))+
((Q18*8.34*$Q$7*($Q$3/100))*($Q$4/100))+((R18*8.34*$R$7*($R$3/100))*($R$4/100))+
((U18*8.34*$U$7*($U$3/100))*($U$4/100))+(((V18*$V$2)*8.34*$V$7*($V$3/100))*($V$4/100))+
((W18*8.34*$W$7*($W$3/100))*($W$4/100))+((X18*8.34*$X$7*($X$3/100))*($X$4/100))</f>
        <v>#REF!</v>
      </c>
      <c r="AI18" s="17" t="e">
        <f t="shared" si="4"/>
        <v>#REF!</v>
      </c>
      <c r="AJ18" s="17" t="e">
        <f t="shared" si="5"/>
        <v>#REF!</v>
      </c>
      <c r="AL18" s="102" t="e">
        <f>((((B18*8.34*$B$7*($B$3/100))*($B$4/100))/($B$5+$B$6))*$B$5)
+((((#REF!*8.34*$C$7*($C$3/100))*($C$4/100))/($C$5+$C$6))*$C$5)
+((((D18*8.34*$D$7*($D$3/100))*($D$4/100))/($D$5+$D$6))*$D$5)
+((((E18*8.34*$E$7*($E$3/100))*($E$4/100))/($E$5+$E$6))*$E$5)
+((((F18*8.34*$F$7*($F$3/100))*($F$4/100))/($F$5+$F$6))*$F$5)
+((((G18*8.34*$G$7*($G$3/100))*($G$4/100))/($G$5+$G$6))*$G$5)
+((((H18*8.34*$H$7*($H$3/100))*($H$4/100))/($H$5+$H$6))*$H$5)
+((((I18*8.34*$I$7*($I$3/100))*($I$4/100))/($I$5+$I$6))*$I$5)
+((((J18*8.34*$J$7*($J$3/100))*($J$4/100))/($J$5+$J$6))*$J$5)
+((((K18*8.34*$K$7*($K$3/100))*($K$4/100))/($K$5+$K$6))*$K$5)
+((((L18*8.34*$L$7*($L$3/100))*($L$4/100))/($L$5+$L$6))*$L$5)
+((((M18*8.34*$M$7*($M$3/100))*($M$4/100))/($M$5+$M$6))*$M$5)
+((((O18*8.34*$O$7*($O$3/100))*($O$4/100))/($O$5+$O$6))*$O$5)
+((((P18*8.34*$P$7*($P$3/100))*($P$4/100))/($P$5+$P$6))*$P$5)
+((((Q18*8.34*$Q$7*($Q$3/100))*($Q$4/100))/($Q$5+$Q$6))*$Q$5)
+((((U18*8.34*$U$7*($U$3/100))*($U$4/100))/($U$5+$U$6))*$U$5)
+(((((V18*$V$2)*8.34*$V$7*($V$3/100))*($V$4/100))/($V$5+$V$6))*$V$5)
+((((W18*8.34*$W$7*($W$3/100))*($W$4/100))/($W$5+$W$6))*$W$5)
+((((X18*8.34*$X$7*($X$3/100))*($X$4/100))/($X$5+$X$6))*$X$5)</f>
        <v>#REF!</v>
      </c>
      <c r="AM18" s="102" t="e">
        <f>((((B18*8.34*$B$7*($B$3/100))*($B$4/100))/($B$5+$B$6))*$B$6)
+((((#REF!*8.34*$C$7*($C$3/100))*($C$4/100))/($C$5+$C$6))*$C$6)
+((((D18*8.34*$D$7*($D$3/100))*($D$4/100))/($D$5+$D$6))*$D$6)
+((((E18*8.34*$E$7*($E$3/100))*($E$4/100))/($E$5+$E$6))*$E$6)
+((((F18*8.34*$F$7*($F$3/100))*($F$4/100))/($F$5+$F$6))*$F$6)
+((((G18*8.34*$G$7*($G$3/100))*($G$4/100))/($G$5+$G$6))*$G$6)
+((((H18*8.34*$H$7*($H$3/100))*($H$4/100))/($H$5+$H$6))*$H$6)
+((((I18*8.34*$I$7*($I$3/100))*($I$4/100))/($I$5+$I$6))*$I$6)
+((((J18*8.34*$J$7*($J$3/100))*($J$4/100))/($J$5+$J$6))*$J$6)
+((((K18*8.34*$K$7*($K$3/100))*($K$4/100))/($K$5+$K$6))*$K$6)
+((((L18*8.34*$L$7*($L$3/100))*($L$4/100))/($L$5+$L$6))*$L$6)
+((((M18*8.34*$M$7*($M$3/100))*($M$4/100))/($M$5+$M$6))*$M$6)
+((((O18*8.34*$O$7*($O$3/100))*($O$4/100))/($O$5+$O$6))*$O$6)
+((((P18*8.34*$P$7*($P$3/100))*($P$4/100))/($P$5+$P$6))*$P$6)
+((((Q18*8.34*$Q$7*($Q$3/100))*($Q$4/100))/($Q$5+$Q$6))*$Q$6)
+((((U18*8.34*$U$7*($U$3/100))*($U$4/100))/($U$5+$U$6))*$U$6)
+(((((V18*$V$2) *8.34*$V$7*($V$3/100))*($V$4/100))/($V$5+$V$6))*$V$6)
+((((W18*8.34*$W$7*($W$3/100))*($W$4/100))/($W$5+$W$6))*$W$6)
+((((X18*8.34*$X$7*($X$3/100))*($X$4/100))/($X$5+$X$6))*$X$6)</f>
        <v>#REF!</v>
      </c>
      <c r="AN18" s="46" t="e">
        <f t="shared" si="6"/>
        <v>#REF!</v>
      </c>
      <c r="AO18" s="68">
        <v>1</v>
      </c>
      <c r="AQ18" s="18" t="e">
        <f>(B18*($B$3/100)*($B$4/100)*$B$7*8.34*0.000453592*$B$8)+
(#REF!*($C$3/100)*($C$4/100)*$C$7*8.34*0.000453592*$C$8)+
(D18*($D$3/100)*($D$4/100)*$D$7*8.34*0.000453592*$D$8)+
(E18*($E$3/100)*($E$4/100)*$E$7*8.34*0.000453592*$E$8)+
(F18*($F$3/100)*($F$4/100)*$F$7*8.34*0.000453592*$F$8)+
(G18*($G$3/100)*($G$4/100)*$G$7*8.34*0.000453592*$G$8)+
(H18*($H$3/100)*($H$4/100)*$H$7*8.34*0.000453592*$H$8)+
(I18*($I$3/100)*($I$4/100)*$I$7*8.34*0.000453592*$I$8)+
(J18*($J$3/100)*($J$4/100)*$J$7*8.34*0.000453592*$J$8)+
(K18*($K$3/100)*($K$4/100)*$K$7*8.34*0.000453592*$K$8)+
(L18*($L$3/100)*($L$4/100)*$L$7*8.34*0.000453592*$L$8)+
(M18*($M$3/100)*($M$4/100)*$M$7*8.34*0.000453592*$M$8)+
(O18*($O$3/100)*($O$4/100)*$O$7*8.34*0.000453592*$O$8)+
(P18*($P$3/100)*($P$4/100)*$P$7*8.34*0.000453592*$P$8)+
(Q18*($Q$3/100)*($Q$4/100)*$Q$7*8.34*0.000453592*$Q$8)+
(U18*($U$3/100)*($U$4/100)*$U$7*8.34*0.000453592*$U$8)+
(V18*$V$2*($V$3/100)*($BV$4/100)*$V$7*8.34*0.000453592*$V$8)+
(W18*($W$3/100)*($W$4/100)*$W$7*8.34*0.000453592*$W$8)+
(X18*($X$3/100)*($X$4/100)*$X$7*8.34*0.000453592*$X$8)</f>
        <v>#REF!</v>
      </c>
      <c r="AR18" s="18" t="e">
        <f t="shared" si="7"/>
        <v>#REF!</v>
      </c>
      <c r="AU18" s="40"/>
    </row>
    <row r="19" spans="1:47">
      <c r="A19">
        <v>9</v>
      </c>
      <c r="B19" s="24">
        <v>4000</v>
      </c>
      <c r="C19" s="25">
        <v>2000</v>
      </c>
      <c r="D19" s="25">
        <f>3.5*120</f>
        <v>420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25">
        <v>4000</v>
      </c>
      <c r="K19" s="59">
        <v>0</v>
      </c>
      <c r="L19" s="59">
        <v>0</v>
      </c>
      <c r="M19" s="119">
        <v>0</v>
      </c>
      <c r="N19" s="8">
        <v>9</v>
      </c>
      <c r="O19" s="80">
        <v>0</v>
      </c>
      <c r="P19" s="78">
        <v>0</v>
      </c>
      <c r="Q19" s="59">
        <v>0</v>
      </c>
      <c r="R19" s="25">
        <v>30</v>
      </c>
      <c r="S19" s="59">
        <v>0</v>
      </c>
      <c r="T19" s="59">
        <v>0</v>
      </c>
      <c r="U19" s="25">
        <v>1000</v>
      </c>
      <c r="V19" s="98">
        <v>0</v>
      </c>
      <c r="W19" s="78">
        <v>0</v>
      </c>
      <c r="X19" s="59">
        <v>0</v>
      </c>
      <c r="Y19" s="59">
        <v>0</v>
      </c>
      <c r="Z19" s="113"/>
      <c r="AB19" s="10">
        <f t="shared" si="0"/>
        <v>10420</v>
      </c>
      <c r="AC19" s="34">
        <f t="shared" si="8"/>
        <v>1030</v>
      </c>
      <c r="AD19" s="10">
        <f t="shared" si="1"/>
        <v>11450</v>
      </c>
      <c r="AE19" s="72">
        <f t="shared" si="2"/>
        <v>91.004366812227076</v>
      </c>
      <c r="AF19" s="72">
        <f t="shared" si="3"/>
        <v>8.9956331877729259</v>
      </c>
      <c r="AH19" s="70" t="e">
        <f>((B19*8.34*$B$7*($B$3/100))*($B$4/100))+((#REF!*8.34*$C$7*($C$3/100))*($C$4/100))+ ((D19*8.34*$D$7*($D$3/100))*($D$4/100))+((E19*8.34*$E$7*($E$3/100))*($E$4/100))+ ((F19*8.34*$F$7*($F$3/100))*($F$4/100))+((G19*8.34*$G$7*($G$3/100))*($G$4/100))+ ((H19*8.34*$H$7*($H$3/100))*($H$4/100))+((I19*8.34*$I$7*($I$3/100))*($I$4/100))+ ((J19*8.34*$J$7*($J$3/100))*($J$4/100))+((K19*8.34*$K$7*($K$3/100))*($K$4/100))+ ((L19*8.34*$L$7*($L$3/100))*($L$4/100))+((M19*8.34*$M$7*($M$3/100))*($M$4/100))+ ((O19*8.34*$O$7*($O$3/100))*($O$4/100))+((P19*8.34*$P$7*($P$3/100))*($P$4/100))+
((Q19*8.34*$Q$7*($Q$3/100))*($Q$4/100))+((R19*8.34*$R$7*($R$3/100))*($R$4/100))+
((U19*8.34*$U$7*($U$3/100))*($U$4/100))+(((V19*$V$2)*8.34*$V$7*($V$3/100))*($V$4/100))+
((W19*8.34*$W$7*($W$3/100))*($W$4/100))+((X19*8.34*$X$7*($X$3/100))*($X$4/100))</f>
        <v>#REF!</v>
      </c>
      <c r="AI19" s="17" t="e">
        <f t="shared" si="4"/>
        <v>#REF!</v>
      </c>
      <c r="AJ19" s="17" t="e">
        <f t="shared" si="5"/>
        <v>#REF!</v>
      </c>
      <c r="AL19" s="102" t="e">
        <f>((((B19*8.34*$B$7*($B$3/100))*($B$4/100))/($B$5+$B$6))*$B$5)
+((((#REF!*8.34*$C$7*($C$3/100))*($C$4/100))/($C$5+$C$6))*$C$5)
+((((D19*8.34*$D$7*($D$3/100))*($D$4/100))/($D$5+$D$6))*$D$5)
+((((E19*8.34*$E$7*($E$3/100))*($E$4/100))/($E$5+$E$6))*$E$5)
+((((F19*8.34*$F$7*($F$3/100))*($F$4/100))/($F$5+$F$6))*$F$5)
+((((G19*8.34*$G$7*($G$3/100))*($G$4/100))/($G$5+$G$6))*$G$5)
+((((H19*8.34*$H$7*($H$3/100))*($H$4/100))/($H$5+$H$6))*$H$5)
+((((I19*8.34*$I$7*($I$3/100))*($I$4/100))/($I$5+$I$6))*$I$5)
+((((J19*8.34*$J$7*($J$3/100))*($J$4/100))/($J$5+$J$6))*$J$5)
+((((K19*8.34*$K$7*($K$3/100))*($K$4/100))/($K$5+$K$6))*$K$5)
+((((L19*8.34*$L$7*($L$3/100))*($L$4/100))/($L$5+$L$6))*$L$5)
+((((M19*8.34*$M$7*($M$3/100))*($M$4/100))/($M$5+$M$6))*$M$5)
+((((O19*8.34*$O$7*($O$3/100))*($O$4/100))/($O$5+$O$6))*$O$5)
+((((P19*8.34*$P$7*($P$3/100))*($P$4/100))/($P$5+$P$6))*$P$5)
+((((Q19*8.34*$Q$7*($Q$3/100))*($Q$4/100))/($Q$5+$Q$6))*$Q$5)
+((((U19*8.34*$U$7*($U$3/100))*($U$4/100))/($U$5+$U$6))*$U$5)
+(((((V19*$V$2)*8.34*$V$7*($V$3/100))*($V$4/100))/($V$5+$V$6))*$V$5)
+((((W19*8.34*$W$7*($W$3/100))*($W$4/100))/($W$5+$W$6))*$W$5)
+((((X19*8.34*$X$7*($X$3/100))*($X$4/100))/($X$5+$X$6))*$X$5)</f>
        <v>#REF!</v>
      </c>
      <c r="AM19" s="102" t="e">
        <f>((((B19*8.34*$B$7*($B$3/100))*($B$4/100))/($B$5+$B$6))*$B$6)
+((((#REF!*8.34*$C$7*($C$3/100))*($C$4/100))/($C$5+$C$6))*$C$6)
+((((D19*8.34*$D$7*($D$3/100))*($D$4/100))/($D$5+$D$6))*$D$6)
+((((E19*8.34*$E$7*($E$3/100))*($E$4/100))/($E$5+$E$6))*$E$6)
+((((F19*8.34*$F$7*($F$3/100))*($F$4/100))/($F$5+$F$6))*$F$6)
+((((G19*8.34*$G$7*($G$3/100))*($G$4/100))/($G$5+$G$6))*$G$6)
+((((H19*8.34*$H$7*($H$3/100))*($H$4/100))/($H$5+$H$6))*$H$6)
+((((I19*8.34*$I$7*($I$3/100))*($I$4/100))/($I$5+$I$6))*$I$6)
+((((J19*8.34*$J$7*($J$3/100))*($J$4/100))/($J$5+$J$6))*$J$6)
+((((K19*8.34*$K$7*($K$3/100))*($K$4/100))/($K$5+$K$6))*$K$6)
+((((L19*8.34*$L$7*($L$3/100))*($L$4/100))/($L$5+$L$6))*$L$6)
+((((M19*8.34*$M$7*($M$3/100))*($M$4/100))/($M$5+$M$6))*$M$6)
+((((O19*8.34*$O$7*($O$3/100))*($O$4/100))/($O$5+$O$6))*$O$6)
+((((P19*8.34*$P$7*($P$3/100))*($P$4/100))/($P$5+$P$6))*$P$6)
+((((Q19*8.34*$Q$7*($Q$3/100))*($Q$4/100))/($Q$5+$Q$6))*$Q$6)
+((((U19*8.34*$U$7*($U$3/100))*($U$4/100))/($U$5+$U$6))*$U$6)
+(((((V19*$V$2) *8.34*$V$7*($V$3/100))*($V$4/100))/($V$5+$V$6))*$V$6)
+((((W19*8.34*$W$7*($W$3/100))*($W$4/100))/($W$5+$W$6))*$W$6)
+((((X19*8.34*$X$7*($X$3/100))*($X$4/100))/($X$5+$X$6))*$X$6)</f>
        <v>#REF!</v>
      </c>
      <c r="AN19" s="46" t="e">
        <f t="shared" si="6"/>
        <v>#REF!</v>
      </c>
      <c r="AO19" s="68">
        <v>1</v>
      </c>
      <c r="AQ19" s="18" t="e">
        <f>(B19*($B$3/100)*($B$4/100)*$B$7*8.34*0.000453592*$B$8)+
(#REF!*($C$3/100)*($C$4/100)*$C$7*8.34*0.000453592*$C$8)+
(D19*($D$3/100)*($D$4/100)*$D$7*8.34*0.000453592*$D$8)+
(E19*($E$3/100)*($E$4/100)*$E$7*8.34*0.000453592*$E$8)+
(F19*($F$3/100)*($F$4/100)*$F$7*8.34*0.000453592*$F$8)+
(G19*($G$3/100)*($G$4/100)*$G$7*8.34*0.000453592*$G$8)+
(H19*($H$3/100)*($H$4/100)*$H$7*8.34*0.000453592*$H$8)+
(I19*($I$3/100)*($I$4/100)*$I$7*8.34*0.000453592*$I$8)+
(J19*($J$3/100)*($J$4/100)*$J$7*8.34*0.000453592*$J$8)+
(K19*($K$3/100)*($K$4/100)*$K$7*8.34*0.000453592*$K$8)+
(L19*($L$3/100)*($L$4/100)*$L$7*8.34*0.000453592*$L$8)+
(M19*($M$3/100)*($M$4/100)*$M$7*8.34*0.000453592*$M$8)+
(O19*($O$3/100)*($O$4/100)*$O$7*8.34*0.000453592*$O$8)+
(P19*($P$3/100)*($P$4/100)*$P$7*8.34*0.000453592*$P$8)+
(Q19*($Q$3/100)*($Q$4/100)*$Q$7*8.34*0.000453592*$Q$8)+
(U19*($U$3/100)*($U$4/100)*$U$7*8.34*0.000453592*$U$8)+
(V19*$V$2*($V$3/100)*($BV$4/100)*$V$7*8.34*0.000453592*$V$8)+
(W19*($W$3/100)*($W$4/100)*$W$7*8.34*0.000453592*$W$8)+
(X19*($X$3/100)*($X$4/100)*$X$7*8.34*0.000453592*$X$8)</f>
        <v>#REF!</v>
      </c>
      <c r="AR19" s="18" t="e">
        <f t="shared" si="7"/>
        <v>#REF!</v>
      </c>
      <c r="AU19" s="40"/>
    </row>
    <row r="20" spans="1:47">
      <c r="A20">
        <v>10</v>
      </c>
      <c r="B20" s="24">
        <v>4000</v>
      </c>
      <c r="C20" s="25">
        <v>2000</v>
      </c>
      <c r="D20" s="7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25">
        <v>4000</v>
      </c>
      <c r="K20" s="59">
        <v>0</v>
      </c>
      <c r="L20" s="59">
        <v>0</v>
      </c>
      <c r="M20" s="119">
        <v>0</v>
      </c>
      <c r="N20" s="8">
        <v>10</v>
      </c>
      <c r="O20" s="80">
        <v>0</v>
      </c>
      <c r="P20" s="78">
        <v>0</v>
      </c>
      <c r="Q20" s="59">
        <v>0</v>
      </c>
      <c r="R20" s="25">
        <v>30</v>
      </c>
      <c r="S20" s="59">
        <v>0</v>
      </c>
      <c r="T20" s="59">
        <v>0</v>
      </c>
      <c r="U20" s="25">
        <v>1000</v>
      </c>
      <c r="V20" s="98">
        <v>0</v>
      </c>
      <c r="W20" s="78">
        <v>0</v>
      </c>
      <c r="X20" s="59">
        <v>0</v>
      </c>
      <c r="Y20" s="59">
        <v>0</v>
      </c>
      <c r="Z20" s="113"/>
      <c r="AB20" s="10">
        <f t="shared" si="0"/>
        <v>10000</v>
      </c>
      <c r="AC20" s="34">
        <f t="shared" si="8"/>
        <v>1030</v>
      </c>
      <c r="AD20" s="10">
        <f t="shared" si="1"/>
        <v>11030</v>
      </c>
      <c r="AE20" s="72">
        <f t="shared" si="2"/>
        <v>90.66183136899366</v>
      </c>
      <c r="AF20" s="72">
        <f t="shared" si="3"/>
        <v>9.3381686310063472</v>
      </c>
      <c r="AH20" s="70" t="e">
        <f>((B20*8.34*$B$7*($B$3/100))*($B$4/100))+((#REF!*8.34*$C$7*($C$3/100))*($C$4/100))+ ((D20*8.34*$D$7*($D$3/100))*($D$4/100))+((E20*8.34*$E$7*($E$3/100))*($E$4/100))+ ((F20*8.34*$F$7*($F$3/100))*($F$4/100))+((G20*8.34*$G$7*($G$3/100))*($G$4/100))+ ((H20*8.34*$H$7*($H$3/100))*($H$4/100))+((I20*8.34*$I$7*($I$3/100))*($I$4/100))+ ((J20*8.34*$J$7*($J$3/100))*($J$4/100))+((K20*8.34*$K$7*($K$3/100))*($K$4/100))+ ((L20*8.34*$L$7*($L$3/100))*($L$4/100))+((M20*8.34*$M$7*($M$3/100))*($M$4/100))+ ((O20*8.34*$O$7*($O$3/100))*($O$4/100))+((P20*8.34*$P$7*($P$3/100))*($P$4/100))+
((Q20*8.34*$Q$7*($Q$3/100))*($Q$4/100))+((R20*8.34*$R$7*($R$3/100))*($R$4/100))+
((U20*8.34*$U$7*($U$3/100))*($U$4/100))+(((V20*$V$2)*8.34*$V$7*($V$3/100))*($V$4/100))+
((W20*8.34*$W$7*($W$3/100))*($W$4/100))+((X20*8.34*$X$7*($X$3/100))*($X$4/100))</f>
        <v>#REF!</v>
      </c>
      <c r="AI20" s="17" t="e">
        <f t="shared" si="4"/>
        <v>#REF!</v>
      </c>
      <c r="AJ20" s="17" t="e">
        <f t="shared" si="5"/>
        <v>#REF!</v>
      </c>
      <c r="AL20" s="102" t="e">
        <f>((((B20*8.34*$B$7*($B$3/100))*($B$4/100))/($B$5+$B$6))*$B$5)
+((((#REF!*8.34*$C$7*($C$3/100))*($C$4/100))/($C$5+$C$6))*$C$5)
+((((D20*8.34*$D$7*($D$3/100))*($D$4/100))/($D$5+$D$6))*$D$5)
+((((E20*8.34*$E$7*($E$3/100))*($E$4/100))/($E$5+$E$6))*$E$5)
+((((F20*8.34*$F$7*($F$3/100))*($F$4/100))/($F$5+$F$6))*$F$5)
+((((G20*8.34*$G$7*($G$3/100))*($G$4/100))/($G$5+$G$6))*$G$5)
+((((H20*8.34*$H$7*($H$3/100))*($H$4/100))/($H$5+$H$6))*$H$5)
+((((I20*8.34*$I$7*($I$3/100))*($I$4/100))/($I$5+$I$6))*$I$5)
+((((J20*8.34*$J$7*($J$3/100))*($J$4/100))/($J$5+$J$6))*$J$5)
+((((K20*8.34*$K$7*($K$3/100))*($K$4/100))/($K$5+$K$6))*$K$5)
+((((L20*8.34*$L$7*($L$3/100))*($L$4/100))/($L$5+$L$6))*$L$5)
+((((M20*8.34*$M$7*($M$3/100))*($M$4/100))/($M$5+$M$6))*$M$5)
+((((O20*8.34*$O$7*($O$3/100))*($O$4/100))/($O$5+$O$6))*$O$5)
+((((P20*8.34*$P$7*($P$3/100))*($P$4/100))/($P$5+$P$6))*$P$5)
+((((Q20*8.34*$Q$7*($Q$3/100))*($Q$4/100))/($Q$5+$Q$6))*$Q$5)
+((((U20*8.34*$U$7*($U$3/100))*($U$4/100))/($U$5+$U$6))*$U$5)
+(((((V20*$V$2)*8.34*$V$7*($V$3/100))*($V$4/100))/($V$5+$V$6))*$V$5)
+((((W20*8.34*$W$7*($W$3/100))*($W$4/100))/($W$5+$W$6))*$W$5)
+((((X20*8.34*$X$7*($X$3/100))*($X$4/100))/($X$5+$X$6))*$X$5)</f>
        <v>#REF!</v>
      </c>
      <c r="AM20" s="102" t="e">
        <f>((((B20*8.34*$B$7*($B$3/100))*($B$4/100))/($B$5+$B$6))*$B$6)
+((((#REF!*8.34*$C$7*($C$3/100))*($C$4/100))/($C$5+$C$6))*$C$6)
+((((D20*8.34*$D$7*($D$3/100))*($D$4/100))/($D$5+$D$6))*$D$6)
+((((E20*8.34*$E$7*($E$3/100))*($E$4/100))/($E$5+$E$6))*$E$6)
+((((F20*8.34*$F$7*($F$3/100))*($F$4/100))/($F$5+$F$6))*$F$6)
+((((G20*8.34*$G$7*($G$3/100))*($G$4/100))/($G$5+$G$6))*$G$6)
+((((H20*8.34*$H$7*($H$3/100))*($H$4/100))/($H$5+$H$6))*$H$6)
+((((I20*8.34*$I$7*($I$3/100))*($I$4/100))/($I$5+$I$6))*$I$6)
+((((J20*8.34*$J$7*($J$3/100))*($J$4/100))/($J$5+$J$6))*$J$6)
+((((K20*8.34*$K$7*($K$3/100))*($K$4/100))/($K$5+$K$6))*$K$6)
+((((L20*8.34*$L$7*($L$3/100))*($L$4/100))/($L$5+$L$6))*$L$6)
+((((M20*8.34*$M$7*($M$3/100))*($M$4/100))/($M$5+$M$6))*$M$6)
+((((O20*8.34*$O$7*($O$3/100))*($O$4/100))/($O$5+$O$6))*$O$6)
+((((P20*8.34*$P$7*($P$3/100))*($P$4/100))/($P$5+$P$6))*$P$6)
+((((Q20*8.34*$Q$7*($Q$3/100))*($Q$4/100))/($Q$5+$Q$6))*$Q$6)
+((((U20*8.34*$U$7*($U$3/100))*($U$4/100))/($U$5+$U$6))*$U$6)
+(((((V20*$V$2) *8.34*$V$7*($V$3/100))*($V$4/100))/($V$5+$V$6))*$V$6)
+((((W20*8.34*$W$7*($W$3/100))*($W$4/100))/($W$5+$W$6))*$W$6)
+((((X20*8.34*$X$7*($X$3/100))*($X$4/100))/($X$5+$X$6))*$X$6)</f>
        <v>#REF!</v>
      </c>
      <c r="AN20" s="46" t="e">
        <f t="shared" si="6"/>
        <v>#REF!</v>
      </c>
      <c r="AO20" s="68">
        <v>1</v>
      </c>
      <c r="AQ20" s="7" t="e">
        <f>(B20*($B$3/100)*($B$4/100)*$B$7*8.34*0.000453592*$B$8)+
(#REF!*($C$3/100)*($C$4/100)*$C$7*8.34*0.000453592*$C$8)+
(D20*($D$3/100)*($D$4/100)*$D$7*8.34*0.000453592*$D$8)+
(E20*($E$3/100)*($E$4/100)*$E$7*8.34*0.000453592*$E$8)+
(F20*($F$3/100)*($F$4/100)*$F$7*8.34*0.000453592*$F$8)+
(G20*($G$3/100)*($G$4/100)*$G$7*8.34*0.000453592*$G$8)+
(H20*($H$3/100)*($H$4/100)*$H$7*8.34*0.000453592*$H$8)+
(I20*($I$3/100)*($I$4/100)*$I$7*8.34*0.000453592*$I$8)+
(J20*($J$3/100)*($J$4/100)*$J$7*8.34*0.000453592*$J$8)+
(K20*($K$3/100)*($K$4/100)*$K$7*8.34*0.000453592*$K$8)+
(L20*($L$3/100)*($L$4/100)*$L$7*8.34*0.000453592*$L$8)+
(M20*($M$3/100)*($M$4/100)*$M$7*8.34*0.000453592*$M$8)+
(O20*($O$3/100)*($O$4/100)*$O$7*8.34*0.000453592*$O$8)+
(P20*($P$3/100)*($P$4/100)*$P$7*8.34*0.000453592*$P$8)+
(Q20*($Q$3/100)*($Q$4/100)*$Q$7*8.34*0.000453592*$Q$8)+
(U20*($U$3/100)*($U$4/100)*$U$7*8.34*0.000453592*$U$8)+
(V20*$V$2*($V$3/100)*($BV$4/100)*$V$7*8.34*0.000453592*$V$8)+
(W20*($W$3/100)*($W$4/100)*$W$7*8.34*0.000453592*$W$8)+
(X20*($X$3/100)*($X$4/100)*$X$7*8.34*0.000453592*$X$8)</f>
        <v>#REF!</v>
      </c>
      <c r="AR20" s="7" t="e">
        <f t="shared" si="7"/>
        <v>#REF!</v>
      </c>
      <c r="AU20" s="40"/>
    </row>
    <row r="21" spans="1:47" s="35" customFormat="1">
      <c r="A21" s="35">
        <v>11</v>
      </c>
      <c r="B21" s="24">
        <v>4000</v>
      </c>
      <c r="C21" s="25">
        <v>2000</v>
      </c>
      <c r="D21" s="78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78">
        <v>0</v>
      </c>
      <c r="K21" s="59">
        <v>0</v>
      </c>
      <c r="L21" s="59">
        <v>0</v>
      </c>
      <c r="M21" s="119">
        <v>0</v>
      </c>
      <c r="N21" s="53">
        <v>11</v>
      </c>
      <c r="O21" s="24">
        <f>800+4000</f>
        <v>4800</v>
      </c>
      <c r="P21" s="78">
        <v>0</v>
      </c>
      <c r="Q21" s="59">
        <v>0</v>
      </c>
      <c r="R21" s="25">
        <v>40</v>
      </c>
      <c r="S21" s="59">
        <v>0</v>
      </c>
      <c r="T21" s="59">
        <v>0</v>
      </c>
      <c r="U21" s="25">
        <v>1000</v>
      </c>
      <c r="V21" s="98">
        <v>0</v>
      </c>
      <c r="W21" s="78">
        <v>0</v>
      </c>
      <c r="X21" s="59">
        <v>0</v>
      </c>
      <c r="Y21" s="59">
        <v>0</v>
      </c>
      <c r="Z21" s="113"/>
      <c r="AB21" s="34">
        <f t="shared" si="0"/>
        <v>6000</v>
      </c>
      <c r="AC21" s="34">
        <f t="shared" si="8"/>
        <v>5840</v>
      </c>
      <c r="AD21" s="34">
        <f t="shared" si="1"/>
        <v>11840</v>
      </c>
      <c r="AE21" s="73">
        <f t="shared" si="2"/>
        <v>50.675675675675677</v>
      </c>
      <c r="AF21" s="73">
        <f t="shared" si="3"/>
        <v>49.324324324324323</v>
      </c>
      <c r="AH21" s="71" t="e">
        <f>((B21*8.34*$B$7*($B$3/100))*($B$4/100))+((#REF!*8.34*$C$7*($C$3/100))*($C$4/100))+ ((D21*8.34*$D$7*($D$3/100))*($D$4/100))+((E21*8.34*$E$7*($E$3/100))*($E$4/100))+ ((F21*8.34*$F$7*($F$3/100))*($F$4/100))+((G21*8.34*$G$7*($G$3/100))*($G$4/100))+ ((H21*8.34*$H$7*($H$3/100))*($H$4/100))+((I21*8.34*$I$7*($I$3/100))*($I$4/100))+ ((J21*8.34*$J$7*($J$3/100))*($J$4/100))+((K21*8.34*$K$7*($K$3/100))*($K$4/100))+ ((L21*8.34*$L$7*($L$3/100))*($L$4/100))+((M21*8.34*$M$7*($M$3/100))*($M$4/100))+ ((O21*8.34*$O$7*($O$3/100))*($O$4/100))+((P21*8.34*$P$7*($P$3/100))*($P$4/100))+
((Q21*8.34*$Q$7*($Q$3/100))*($Q$4/100))+((R21*8.34*$R$7*($R$3/100))*($R$4/100))+
((U21*8.34*$U$7*($U$3/100))*($U$4/100))+(((V21*$V$2)*8.34*$V$7*($V$3/100))*($V$4/100))+
((W21*8.34*$W$7*($W$3/100))*($W$4/100))+((X21*8.34*$X$7*($X$3/100))*($X$4/100))</f>
        <v>#REF!</v>
      </c>
      <c r="AI21" s="54" t="e">
        <f t="shared" si="4"/>
        <v>#REF!</v>
      </c>
      <c r="AJ21" s="54" t="e">
        <f t="shared" si="5"/>
        <v>#REF!</v>
      </c>
      <c r="AL21" s="103" t="e">
        <f>((((B21*8.34*$B$7*($B$3/100))*($B$4/100))/($B$5+$B$6))*$B$5)
+((((#REF!*8.34*$C$7*($C$3/100))*($C$4/100))/($C$5+$C$6))*$C$5)
+((((D21*8.34*$D$7*($D$3/100))*($D$4/100))/($D$5+$D$6))*$D$5)
+((((E21*8.34*$E$7*($E$3/100))*($E$4/100))/($E$5+$E$6))*$E$5)
+((((F21*8.34*$F$7*($F$3/100))*($F$4/100))/($F$5+$F$6))*$F$5)
+((((G21*8.34*$G$7*($G$3/100))*($G$4/100))/($G$5+$G$6))*$G$5)
+((((H21*8.34*$H$7*($H$3/100))*($H$4/100))/($H$5+$H$6))*$H$5)
+((((I21*8.34*$I$7*($I$3/100))*($I$4/100))/($I$5+$I$6))*$I$5)
+((((J21*8.34*$J$7*($J$3/100))*($J$4/100))/($J$5+$J$6))*$J$5)
+((((K21*8.34*$K$7*($K$3/100))*($K$4/100))/($K$5+$K$6))*$K$5)
+((((L21*8.34*$L$7*($L$3/100))*($L$4/100))/($L$5+$L$6))*$L$5)
+((((M21*8.34*$M$7*($M$3/100))*($M$4/100))/($M$5+$M$6))*$M$5)
+((((O21*8.34*$O$7*($O$3/100))*($O$4/100))/($O$5+$O$6))*$O$5)
+((((P21*8.34*$P$7*($P$3/100))*($P$4/100))/($P$5+$P$6))*$P$5)
+((((Q21*8.34*$Q$7*($Q$3/100))*($Q$4/100))/($Q$5+$Q$6))*$Q$5)
+((((U21*8.34*$U$7*($U$3/100))*($U$4/100))/($U$5+$U$6))*$U$5)
+(((((V21*$V$2)*8.34*$V$7*($V$3/100))*($V$4/100))/($V$5+$V$6))*$V$5)
+((((W21*8.34*$W$7*($W$3/100))*($W$4/100))/($W$5+$W$6))*$W$5)
+((((X21*8.34*$X$7*($X$3/100))*($X$4/100))/($X$5+$X$6))*$X$5)</f>
        <v>#REF!</v>
      </c>
      <c r="AM21" s="103" t="e">
        <f>((((B21*8.34*$B$7*($B$3/100))*($B$4/100))/($B$5+$B$6))*$B$6)
+((((#REF!*8.34*$C$7*($C$3/100))*($C$4/100))/($C$5+$C$6))*$C$6)
+((((D21*8.34*$D$7*($D$3/100))*($D$4/100))/($D$5+$D$6))*$D$6)
+((((E21*8.34*$E$7*($E$3/100))*($E$4/100))/($E$5+$E$6))*$E$6)
+((((F21*8.34*$F$7*($F$3/100))*($F$4/100))/($F$5+$F$6))*$F$6)
+((((G21*8.34*$G$7*($G$3/100))*($G$4/100))/($G$5+$G$6))*$G$6)
+((((H21*8.34*$H$7*($H$3/100))*($H$4/100))/($H$5+$H$6))*$H$6)
+((((I21*8.34*$I$7*($I$3/100))*($I$4/100))/($I$5+$I$6))*$I$6)
+((((J21*8.34*$J$7*($J$3/100))*($J$4/100))/($J$5+$J$6))*$J$6)
+((((K21*8.34*$K$7*($K$3/100))*($K$4/100))/($K$5+$K$6))*$K$6)
+((((L21*8.34*$L$7*($L$3/100))*($L$4/100))/($L$5+$L$6))*$L$6)
+((((M21*8.34*$M$7*($M$3/100))*($M$4/100))/($M$5+$M$6))*$M$6)
+((((O21*8.34*$O$7*($O$3/100))*($O$4/100))/($O$5+$O$6))*$O$6)
+((((P21*8.34*$P$7*($P$3/100))*($P$4/100))/($P$5+$P$6))*$P$6)
+((((Q21*8.34*$Q$7*($Q$3/100))*($Q$4/100))/($Q$5+$Q$6))*$Q$6)
+((((U21*8.34*$U$7*($U$3/100))*($U$4/100))/($U$5+$U$6))*$U$6)
+(((((V21*$V$2) *8.34*$V$7*($V$3/100))*($V$4/100))/($V$5+$V$6))*$V$6)
+((((W21*8.34*$W$7*($W$3/100))*($W$4/100))/($W$5+$W$6))*$W$6)
+((((X21*8.34*$X$7*($X$3/100))*($X$4/100))/($X$5+$X$6))*$X$6)</f>
        <v>#REF!</v>
      </c>
      <c r="AN21" s="46" t="e">
        <f t="shared" si="6"/>
        <v>#REF!</v>
      </c>
      <c r="AO21" s="69">
        <v>1</v>
      </c>
      <c r="AQ21" s="36" t="e">
        <f>(B21*($B$3/100)*($B$4/100)*$B$7*8.34*0.000453592*$B$8)+
(#REF!*($C$3/100)*($C$4/100)*$C$7*8.34*0.000453592*$C$8)+
(D21*($D$3/100)*($D$4/100)*$D$7*8.34*0.000453592*$D$8)+
(E21*($E$3/100)*($E$4/100)*$E$7*8.34*0.000453592*$E$8)+
(F21*($F$3/100)*($F$4/100)*$F$7*8.34*0.000453592*$F$8)+
(G21*($G$3/100)*($G$4/100)*$G$7*8.34*0.000453592*$G$8)+
(H21*($H$3/100)*($H$4/100)*$H$7*8.34*0.000453592*$H$8)+
(I21*($I$3/100)*($I$4/100)*$I$7*8.34*0.000453592*$I$8)+
(J21*($J$3/100)*($J$4/100)*$J$7*8.34*0.000453592*$J$8)+
(K21*($K$3/100)*($K$4/100)*$K$7*8.34*0.000453592*$K$8)+
(L21*($L$3/100)*($L$4/100)*$L$7*8.34*0.000453592*$L$8)+
(M21*($M$3/100)*($M$4/100)*$M$7*8.34*0.000453592*$M$8)+
(O21*($O$3/100)*($O$4/100)*$O$7*8.34*0.000453592*$O$8)+
(P21*($P$3/100)*($P$4/100)*$P$7*8.34*0.000453592*$P$8)+
(Q21*($Q$3/100)*($Q$4/100)*$Q$7*8.34*0.000453592*$Q$8)+
(U21*($U$3/100)*($U$4/100)*$U$7*8.34*0.000453592*$U$8)+
(V21*$V$2*($V$3/100)*($BV$4/100)*$V$7*8.34*0.000453592*$V$8)+
(W21*($W$3/100)*($W$4/100)*$W$7*8.34*0.000453592*$W$8)+
(X21*($X$3/100)*($X$4/100)*$X$7*8.34*0.000453592*$X$8)</f>
        <v>#REF!</v>
      </c>
      <c r="AR21" s="36" t="e">
        <f t="shared" si="7"/>
        <v>#REF!</v>
      </c>
      <c r="AU21" s="55"/>
    </row>
    <row r="22" spans="1:47" s="35" customFormat="1">
      <c r="A22" s="35">
        <v>12</v>
      </c>
      <c r="B22" s="24">
        <v>4000</v>
      </c>
      <c r="C22" s="25">
        <v>2000</v>
      </c>
      <c r="D22" s="25">
        <f>10*120</f>
        <v>1200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25">
        <v>4000</v>
      </c>
      <c r="K22" s="59">
        <v>0</v>
      </c>
      <c r="L22" s="59">
        <v>0</v>
      </c>
      <c r="M22" s="119">
        <v>0</v>
      </c>
      <c r="N22" s="53">
        <v>12</v>
      </c>
      <c r="O22" s="24">
        <v>900</v>
      </c>
      <c r="P22" s="78">
        <v>0</v>
      </c>
      <c r="Q22" s="59">
        <v>0</v>
      </c>
      <c r="R22" s="25">
        <v>30</v>
      </c>
      <c r="S22" s="59">
        <v>0</v>
      </c>
      <c r="T22" s="59">
        <v>0</v>
      </c>
      <c r="U22" s="25">
        <v>1000</v>
      </c>
      <c r="V22" s="98">
        <v>0</v>
      </c>
      <c r="W22" s="25">
        <f>325*3</f>
        <v>975</v>
      </c>
      <c r="X22" s="59">
        <v>0</v>
      </c>
      <c r="Y22" s="59">
        <v>0</v>
      </c>
      <c r="Z22" s="113"/>
      <c r="AB22" s="34">
        <f t="shared" si="0"/>
        <v>11200</v>
      </c>
      <c r="AC22" s="34">
        <f t="shared" si="8"/>
        <v>2905</v>
      </c>
      <c r="AD22" s="34">
        <f t="shared" si="1"/>
        <v>14105</v>
      </c>
      <c r="AE22" s="73">
        <f t="shared" si="2"/>
        <v>79.404466501240691</v>
      </c>
      <c r="AF22" s="73">
        <f t="shared" si="3"/>
        <v>20.595533498759306</v>
      </c>
      <c r="AH22" s="71" t="e">
        <f>((B22*8.34*$B$7*($B$3/100))*($B$4/100))+((#REF!*8.34*$C$7*($C$3/100))*($C$4/100))+ ((D22*8.34*$D$7*($D$3/100))*($D$4/100))+((E22*8.34*$E$7*($E$3/100))*($E$4/100))+ ((F22*8.34*$F$7*($F$3/100))*($F$4/100))+((G22*8.34*$G$7*($G$3/100))*($G$4/100))+ ((H22*8.34*$H$7*($H$3/100))*($H$4/100))+((I22*8.34*$I$7*($I$3/100))*($I$4/100))+ ((J22*8.34*$J$7*($J$3/100))*($J$4/100))+((K22*8.34*$K$7*($K$3/100))*($K$4/100))+ ((L22*8.34*$L$7*($L$3/100))*($L$4/100))+((M22*8.34*$M$7*($M$3/100))*($M$4/100))+ ((O22*8.34*$O$7*($O$3/100))*($O$4/100))+((P22*8.34*$P$7*($P$3/100))*($P$4/100))+
((Q22*8.34*$Q$7*($Q$3/100))*($Q$4/100))+((R22*8.34*$R$7*($R$3/100))*($R$4/100))+
((U22*8.34*$U$7*($U$3/100))*($U$4/100))+(((V22*$V$2)*8.34*$V$7*($V$3/100))*($V$4/100))+
((W22*8.34*$W$7*($W$3/100))*($W$4/100))+((X22*8.34*$X$7*($X$3/100))*($X$4/100))</f>
        <v>#REF!</v>
      </c>
      <c r="AI22" s="54" t="e">
        <f t="shared" si="4"/>
        <v>#REF!</v>
      </c>
      <c r="AJ22" s="54" t="e">
        <f t="shared" si="5"/>
        <v>#REF!</v>
      </c>
      <c r="AL22" s="103" t="e">
        <f>((((B22*8.34*$B$7*($B$3/100))*($B$4/100))/($B$5+$B$6))*$B$5)
+((((#REF!*8.34*$C$7*($C$3/100))*($C$4/100))/($C$5+$C$6))*$C$5)
+((((D22*8.34*$D$7*($D$3/100))*($D$4/100))/($D$5+$D$6))*$D$5)
+((((E22*8.34*$E$7*($E$3/100))*($E$4/100))/($E$5+$E$6))*$E$5)
+((((F22*8.34*$F$7*($F$3/100))*($F$4/100))/($F$5+$F$6))*$F$5)
+((((G22*8.34*$G$7*($G$3/100))*($G$4/100))/($G$5+$G$6))*$G$5)
+((((H22*8.34*$H$7*($H$3/100))*($H$4/100))/($H$5+$H$6))*$H$5)
+((((I22*8.34*$I$7*($I$3/100))*($I$4/100))/($I$5+$I$6))*$I$5)
+((((J22*8.34*$J$7*($J$3/100))*($J$4/100))/($J$5+$J$6))*$J$5)
+((((K22*8.34*$K$7*($K$3/100))*($K$4/100))/($K$5+$K$6))*$K$5)
+((((L22*8.34*$L$7*($L$3/100))*($L$4/100))/($L$5+$L$6))*$L$5)
+((((M22*8.34*$M$7*($M$3/100))*($M$4/100))/($M$5+$M$6))*$M$5)
+((((O22*8.34*$O$7*($O$3/100))*($O$4/100))/($O$5+$O$6))*$O$5)
+((((P22*8.34*$P$7*($P$3/100))*($P$4/100))/($P$5+$P$6))*$P$5)
+((((Q22*8.34*$Q$7*($Q$3/100))*($Q$4/100))/($Q$5+$Q$6))*$Q$5)
+((((U22*8.34*$U$7*($U$3/100))*($U$4/100))/($U$5+$U$6))*$U$5)
+(((((V22*$V$2)*8.34*$V$7*($V$3/100))*($V$4/100))/($V$5+$V$6))*$V$5)
+((((W22*8.34*$W$7*($W$3/100))*($W$4/100))/($W$5+$W$6))*$W$5)
+((((X22*8.34*$X$7*($X$3/100))*($X$4/100))/($X$5+$X$6))*$X$5)</f>
        <v>#REF!</v>
      </c>
      <c r="AM22" s="103" t="e">
        <f>((((B22*8.34*$B$7*($B$3/100))*($B$4/100))/($B$5+$B$6))*$B$6)
+((((#REF!*8.34*$C$7*($C$3/100))*($C$4/100))/($C$5+$C$6))*$C$6)
+((((D22*8.34*$D$7*($D$3/100))*($D$4/100))/($D$5+$D$6))*$D$6)
+((((E22*8.34*$E$7*($E$3/100))*($E$4/100))/($E$5+$E$6))*$E$6)
+((((F22*8.34*$F$7*($F$3/100))*($F$4/100))/($F$5+$F$6))*$F$6)
+((((G22*8.34*$G$7*($G$3/100))*($G$4/100))/($G$5+$G$6))*$G$6)
+((((H22*8.34*$H$7*($H$3/100))*($H$4/100))/($H$5+$H$6))*$H$6)
+((((I22*8.34*$I$7*($I$3/100))*($I$4/100))/($I$5+$I$6))*$I$6)
+((((J22*8.34*$J$7*($J$3/100))*($J$4/100))/($J$5+$J$6))*$J$6)
+((((K22*8.34*$K$7*($K$3/100))*($K$4/100))/($K$5+$K$6))*$K$6)
+((((L22*8.34*$L$7*($L$3/100))*($L$4/100))/($L$5+$L$6))*$L$6)
+((((M22*8.34*$M$7*($M$3/100))*($M$4/100))/($M$5+$M$6))*$M$6)
+((((O22*8.34*$O$7*($O$3/100))*($O$4/100))/($O$5+$O$6))*$O$6)
+((((P22*8.34*$P$7*($P$3/100))*($P$4/100))/($P$5+$P$6))*$P$6)
+((((Q22*8.34*$Q$7*($Q$3/100))*($Q$4/100))/($Q$5+$Q$6))*$Q$6)
+((((U22*8.34*$U$7*($U$3/100))*($U$4/100))/($U$5+$U$6))*$U$6)
+(((((V22*$V$2) *8.34*$V$7*($V$3/100))*($V$4/100))/($V$5+$V$6))*$V$6)
+((((W22*8.34*$W$7*($W$3/100))*($W$4/100))/($W$5+$W$6))*$W$6)
+((((X22*8.34*$X$7*($X$3/100))*($X$4/100))/($X$5+$X$6))*$X$6)</f>
        <v>#REF!</v>
      </c>
      <c r="AN22" s="46" t="e">
        <f t="shared" si="6"/>
        <v>#REF!</v>
      </c>
      <c r="AO22" s="69">
        <v>1</v>
      </c>
      <c r="AQ22" s="36" t="e">
        <f>(B22*($B$3/100)*($B$4/100)*$B$7*8.34*0.000453592*$B$8)+
(#REF!*($C$3/100)*($C$4/100)*$C$7*8.34*0.000453592*$C$8)+
(D22*($D$3/100)*($D$4/100)*$D$7*8.34*0.000453592*$D$8)+
(E22*($E$3/100)*($E$4/100)*$E$7*8.34*0.000453592*$E$8)+
(F22*($F$3/100)*($F$4/100)*$F$7*8.34*0.000453592*$F$8)+
(G22*($G$3/100)*($G$4/100)*$G$7*8.34*0.000453592*$G$8)+
(H22*($H$3/100)*($H$4/100)*$H$7*8.34*0.000453592*$H$8)+
(I22*($I$3/100)*($I$4/100)*$I$7*8.34*0.000453592*$I$8)+
(J22*($J$3/100)*($J$4/100)*$J$7*8.34*0.000453592*$J$8)+
(K22*($K$3/100)*($K$4/100)*$K$7*8.34*0.000453592*$K$8)+
(L22*($L$3/100)*($L$4/100)*$L$7*8.34*0.000453592*$L$8)+
(M22*($M$3/100)*($M$4/100)*$M$7*8.34*0.000453592*$M$8)+
(O22*($O$3/100)*($O$4/100)*$O$7*8.34*0.000453592*$O$8)+
(P22*($P$3/100)*($P$4/100)*$P$7*8.34*0.000453592*$P$8)+
(Q22*($Q$3/100)*($Q$4/100)*$Q$7*8.34*0.000453592*$Q$8)+
(U22*($U$3/100)*($U$4/100)*$U$7*8.34*0.000453592*$U$8)+
(V22*$V$2*($V$3/100)*($BV$4/100)*$V$7*8.34*0.000453592*$V$8)+
(W22*($W$3/100)*($W$4/100)*$W$7*8.34*0.000453592*$W$8)+
(X22*($X$3/100)*($X$4/100)*$X$7*8.34*0.000453592*$X$8)</f>
        <v>#REF!</v>
      </c>
      <c r="AR22" s="36" t="e">
        <f t="shared" si="7"/>
        <v>#REF!</v>
      </c>
      <c r="AU22" s="55"/>
    </row>
    <row r="23" spans="1:47" s="35" customFormat="1">
      <c r="A23" s="35">
        <v>13</v>
      </c>
      <c r="B23" s="24">
        <v>4000</v>
      </c>
      <c r="C23" s="25">
        <v>2000</v>
      </c>
      <c r="D23" s="7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25">
        <v>4000</v>
      </c>
      <c r="K23" s="59">
        <v>0</v>
      </c>
      <c r="L23" s="59">
        <v>0</v>
      </c>
      <c r="M23" s="119">
        <v>0</v>
      </c>
      <c r="N23" s="53">
        <v>13</v>
      </c>
      <c r="O23" s="24">
        <v>1000</v>
      </c>
      <c r="P23" s="78">
        <v>0</v>
      </c>
      <c r="Q23" s="59">
        <v>0</v>
      </c>
      <c r="R23" s="25">
        <v>30</v>
      </c>
      <c r="S23" s="59">
        <v>0</v>
      </c>
      <c r="T23" s="59">
        <v>0</v>
      </c>
      <c r="U23" s="25">
        <v>1000</v>
      </c>
      <c r="V23" s="98">
        <v>0</v>
      </c>
      <c r="W23" s="78">
        <v>0</v>
      </c>
      <c r="X23" s="59">
        <v>0</v>
      </c>
      <c r="Y23" s="59">
        <v>0</v>
      </c>
      <c r="Z23" s="113"/>
      <c r="AB23" s="34">
        <f t="shared" si="0"/>
        <v>10000</v>
      </c>
      <c r="AC23" s="34">
        <f t="shared" si="8"/>
        <v>2030</v>
      </c>
      <c r="AD23" s="34">
        <f t="shared" si="1"/>
        <v>12030</v>
      </c>
      <c r="AE23" s="73">
        <f t="shared" si="2"/>
        <v>83.125519534497087</v>
      </c>
      <c r="AF23" s="73">
        <f t="shared" si="3"/>
        <v>16.874480465502909</v>
      </c>
      <c r="AH23" s="71" t="e">
        <f>((B23*8.34*$B$7*($B$3/100))*($B$4/100))+((#REF!*8.34*$C$7*($C$3/100))*($C$4/100))+ ((D23*8.34*$D$7*($D$3/100))*($D$4/100))+((E23*8.34*$E$7*($E$3/100))*($E$4/100))+ ((F23*8.34*$F$7*($F$3/100))*($F$4/100))+((G23*8.34*$G$7*($G$3/100))*($G$4/100))+ ((H23*8.34*$H$7*($H$3/100))*($H$4/100))+((I23*8.34*$I$7*($I$3/100))*($I$4/100))+ ((J23*8.34*$J$7*($J$3/100))*($J$4/100))+((K23*8.34*$K$7*($K$3/100))*($K$4/100))+ ((L23*8.34*$L$7*($L$3/100))*($L$4/100))+((M23*8.34*$M$7*($M$3/100))*($M$4/100))+ ((O23*8.34*$O$7*($O$3/100))*($O$4/100))+((P23*8.34*$P$7*($P$3/100))*($P$4/100))+
((Q23*8.34*$Q$7*($Q$3/100))*($Q$4/100))+((R23*8.34*$R$7*($R$3/100))*($R$4/100))+
((U23*8.34*$U$7*($U$3/100))*($U$4/100))+(((V23*$V$2)*8.34*$V$7*($V$3/100))*($V$4/100))+
((W23*8.34*$W$7*($W$3/100))*($W$4/100))+((X23*8.34*$X$7*($X$3/100))*($X$4/100))</f>
        <v>#REF!</v>
      </c>
      <c r="AI23" s="54" t="e">
        <f t="shared" si="4"/>
        <v>#REF!</v>
      </c>
      <c r="AJ23" s="54" t="e">
        <f t="shared" si="5"/>
        <v>#REF!</v>
      </c>
      <c r="AL23" s="103" t="e">
        <f>((((B23*8.34*$B$7*($B$3/100))*($B$4/100))/($B$5+$B$6))*$B$5)
+((((#REF!*8.34*$C$7*($C$3/100))*($C$4/100))/($C$5+$C$6))*$C$5)
+((((D23*8.34*$D$7*($D$3/100))*($D$4/100))/($D$5+$D$6))*$D$5)
+((((E23*8.34*$E$7*($E$3/100))*($E$4/100))/($E$5+$E$6))*$E$5)
+((((F23*8.34*$F$7*($F$3/100))*($F$4/100))/($F$5+$F$6))*$F$5)
+((((G23*8.34*$G$7*($G$3/100))*($G$4/100))/($G$5+$G$6))*$G$5)
+((((H23*8.34*$H$7*($H$3/100))*($H$4/100))/($H$5+$H$6))*$H$5)
+((((I23*8.34*$I$7*($I$3/100))*($I$4/100))/($I$5+$I$6))*$I$5)
+((((J23*8.34*$J$7*($J$3/100))*($J$4/100))/($J$5+$J$6))*$J$5)
+((((K23*8.34*$K$7*($K$3/100))*($K$4/100))/($K$5+$K$6))*$K$5)
+((((L23*8.34*$L$7*($L$3/100))*($L$4/100))/($L$5+$L$6))*$L$5)
+((((M23*8.34*$M$7*($M$3/100))*($M$4/100))/($M$5+$M$6))*$M$5)
+((((O23*8.34*$O$7*($O$3/100))*($O$4/100))/($O$5+$O$6))*$O$5)
+((((P23*8.34*$P$7*($P$3/100))*($P$4/100))/($P$5+$P$6))*$P$5)
+((((Q23*8.34*$Q$7*($Q$3/100))*($Q$4/100))/($Q$5+$Q$6))*$Q$5)
+((((U23*8.34*$U$7*($U$3/100))*($U$4/100))/($U$5+$U$6))*$U$5)
+(((((V23*$V$2)*8.34*$V$7*($V$3/100))*($V$4/100))/($V$5+$V$6))*$V$5)
+((((W23*8.34*$W$7*($W$3/100))*($W$4/100))/($W$5+$W$6))*$W$5)
+((((X23*8.34*$X$7*($X$3/100))*($X$4/100))/($X$5+$X$6))*$X$5)</f>
        <v>#REF!</v>
      </c>
      <c r="AM23" s="103" t="e">
        <f>((((B23*8.34*$B$7*($B$3/100))*($B$4/100))/($B$5+$B$6))*$B$6)
+((((#REF!*8.34*$C$7*($C$3/100))*($C$4/100))/($C$5+$C$6))*$C$6)
+((((D23*8.34*$D$7*($D$3/100))*($D$4/100))/($D$5+$D$6))*$D$6)
+((((E23*8.34*$E$7*($E$3/100))*($E$4/100))/($E$5+$E$6))*$E$6)
+((((F23*8.34*$F$7*($F$3/100))*($F$4/100))/($F$5+$F$6))*$F$6)
+((((G23*8.34*$G$7*($G$3/100))*($G$4/100))/($G$5+$G$6))*$G$6)
+((((H23*8.34*$H$7*($H$3/100))*($H$4/100))/($H$5+$H$6))*$H$6)
+((((I23*8.34*$I$7*($I$3/100))*($I$4/100))/($I$5+$I$6))*$I$6)
+((((J23*8.34*$J$7*($J$3/100))*($J$4/100))/($J$5+$J$6))*$J$6)
+((((K23*8.34*$K$7*($K$3/100))*($K$4/100))/($K$5+$K$6))*$K$6)
+((((L23*8.34*$L$7*($L$3/100))*($L$4/100))/($L$5+$L$6))*$L$6)
+((((M23*8.34*$M$7*($M$3/100))*($M$4/100))/($M$5+$M$6))*$M$6)
+((((O23*8.34*$O$7*($O$3/100))*($O$4/100))/($O$5+$O$6))*$O$6)
+((((P23*8.34*$P$7*($P$3/100))*($P$4/100))/($P$5+$P$6))*$P$6)
+((((Q23*8.34*$Q$7*($Q$3/100))*($Q$4/100))/($Q$5+$Q$6))*$Q$6)
+((((U23*8.34*$U$7*($U$3/100))*($U$4/100))/($U$5+$U$6))*$U$6)
+(((((V23*$V$2) *8.34*$V$7*($V$3/100))*($V$4/100))/($V$5+$V$6))*$V$6)
+((((W23*8.34*$W$7*($W$3/100))*($W$4/100))/($W$5+$W$6))*$W$6)
+((((X23*8.34*$X$7*($X$3/100))*($X$4/100))/($X$5+$X$6))*$X$6)</f>
        <v>#REF!</v>
      </c>
      <c r="AN23" s="46" t="e">
        <f t="shared" si="6"/>
        <v>#REF!</v>
      </c>
      <c r="AO23" s="69">
        <v>1</v>
      </c>
      <c r="AQ23" s="36" t="e">
        <f>(B23*($B$3/100)*($B$4/100)*$B$7*8.34*0.000453592*$B$8)+
(#REF!*($C$3/100)*($C$4/100)*$C$7*8.34*0.000453592*$C$8)+
(D23*($D$3/100)*($D$4/100)*$D$7*8.34*0.000453592*$D$8)+
(E23*($E$3/100)*($E$4/100)*$E$7*8.34*0.000453592*$E$8)+
(F23*($F$3/100)*($F$4/100)*$F$7*8.34*0.000453592*$F$8)+
(G23*($G$3/100)*($G$4/100)*$G$7*8.34*0.000453592*$G$8)+
(H23*($H$3/100)*($H$4/100)*$H$7*8.34*0.000453592*$H$8)+
(I23*($I$3/100)*($I$4/100)*$I$7*8.34*0.000453592*$I$8)+
(J23*($J$3/100)*($J$4/100)*$J$7*8.34*0.000453592*$J$8)+
(K23*($K$3/100)*($K$4/100)*$K$7*8.34*0.000453592*$K$8)+
(L23*($L$3/100)*($L$4/100)*$L$7*8.34*0.000453592*$L$8)+
(M23*($M$3/100)*($M$4/100)*$M$7*8.34*0.000453592*$M$8)+
(O23*($O$3/100)*($O$4/100)*$O$7*8.34*0.000453592*$O$8)+
(P23*($P$3/100)*($P$4/100)*$P$7*8.34*0.000453592*$P$8)+
(Q23*($Q$3/100)*($Q$4/100)*$Q$7*8.34*0.000453592*$Q$8)+
(U23*($U$3/100)*($U$4/100)*$U$7*8.34*0.000453592*$U$8)+
(V23*$V$2*($V$3/100)*($BV$4/100)*$V$7*8.34*0.000453592*$V$8)+
(W23*($W$3/100)*($W$4/100)*$W$7*8.34*0.000453592*$W$8)+
(X23*($X$3/100)*($X$4/100)*$X$7*8.34*0.000453592*$X$8)</f>
        <v>#REF!</v>
      </c>
      <c r="AR23" s="36" t="e">
        <f t="shared" si="7"/>
        <v>#REF!</v>
      </c>
      <c r="AU23" s="55"/>
    </row>
    <row r="24" spans="1:47" s="35" customFormat="1">
      <c r="A24" s="35">
        <v>14</v>
      </c>
      <c r="B24" s="24">
        <v>4000</v>
      </c>
      <c r="C24" s="25">
        <v>2000</v>
      </c>
      <c r="D24" s="78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78">
        <v>0</v>
      </c>
      <c r="K24" s="59">
        <v>0</v>
      </c>
      <c r="L24" s="59">
        <v>0</v>
      </c>
      <c r="M24" s="119">
        <v>0</v>
      </c>
      <c r="N24" s="53">
        <v>14</v>
      </c>
      <c r="O24" s="24">
        <v>900</v>
      </c>
      <c r="P24" s="78">
        <v>0</v>
      </c>
      <c r="Q24" s="59">
        <v>0</v>
      </c>
      <c r="R24" s="25">
        <v>30</v>
      </c>
      <c r="S24" s="59">
        <v>0</v>
      </c>
      <c r="T24" s="59">
        <v>0</v>
      </c>
      <c r="U24" s="78">
        <v>0</v>
      </c>
      <c r="V24" s="98">
        <v>0</v>
      </c>
      <c r="W24" s="78">
        <v>0</v>
      </c>
      <c r="X24" s="59">
        <v>0</v>
      </c>
      <c r="Y24" s="59">
        <v>0</v>
      </c>
      <c r="Z24" s="113"/>
      <c r="AB24" s="34">
        <f t="shared" si="0"/>
        <v>6000</v>
      </c>
      <c r="AC24" s="34">
        <f t="shared" si="8"/>
        <v>930</v>
      </c>
      <c r="AD24" s="34">
        <f t="shared" si="1"/>
        <v>6930</v>
      </c>
      <c r="AE24" s="73">
        <f t="shared" si="2"/>
        <v>86.580086580086586</v>
      </c>
      <c r="AF24" s="73">
        <f t="shared" si="3"/>
        <v>13.419913419913421</v>
      </c>
      <c r="AH24" s="71" t="e">
        <f>((B24*8.34*$B$7*($B$3/100))*($B$4/100))+((#REF!*8.34*$C$7*($C$3/100))*($C$4/100))+ ((D24*8.34*$D$7*($D$3/100))*($D$4/100))+((E24*8.34*$E$7*($E$3/100))*($E$4/100))+ ((F24*8.34*$F$7*($F$3/100))*($F$4/100))+((G24*8.34*$G$7*($G$3/100))*($G$4/100))+ ((H24*8.34*$H$7*($H$3/100))*($H$4/100))+((I24*8.34*$I$7*($I$3/100))*($I$4/100))+ ((J24*8.34*$J$7*($J$3/100))*($J$4/100))+((K24*8.34*$K$7*($K$3/100))*($K$4/100))+ ((L24*8.34*$L$7*($L$3/100))*($L$4/100))+((M24*8.34*$M$7*($M$3/100))*($M$4/100))+ ((O24*8.34*$O$7*($O$3/100))*($O$4/100))+((P24*8.34*$P$7*($P$3/100))*($P$4/100))+
((Q24*8.34*$Q$7*($Q$3/100))*($Q$4/100))+((R24*8.34*$R$7*($R$3/100))*($R$4/100))+
((U24*8.34*$U$7*($U$3/100))*($U$4/100))+(((V24*$V$2)*8.34*$V$7*($V$3/100))*($V$4/100))+
((W24*8.34*$W$7*($W$3/100))*($W$4/100))+((X24*8.34*$X$7*($X$3/100))*($X$4/100))</f>
        <v>#REF!</v>
      </c>
      <c r="AI24" s="54" t="e">
        <f t="shared" si="4"/>
        <v>#REF!</v>
      </c>
      <c r="AJ24" s="54" t="e">
        <f t="shared" si="5"/>
        <v>#REF!</v>
      </c>
      <c r="AL24" s="103" t="e">
        <f>((((B24*8.34*$B$7*($B$3/100))*($B$4/100))/($B$5+$B$6))*$B$5)
+((((#REF!*8.34*$C$7*($C$3/100))*($C$4/100))/($C$5+$C$6))*$C$5)
+((((D24*8.34*$D$7*($D$3/100))*($D$4/100))/($D$5+$D$6))*$D$5)
+((((E24*8.34*$E$7*($E$3/100))*($E$4/100))/($E$5+$E$6))*$E$5)
+((((F24*8.34*$F$7*($F$3/100))*($F$4/100))/($F$5+$F$6))*$F$5)
+((((G24*8.34*$G$7*($G$3/100))*($G$4/100))/($G$5+$G$6))*$G$5)
+((((H24*8.34*$H$7*($H$3/100))*($H$4/100))/($H$5+$H$6))*$H$5)
+((((I24*8.34*$I$7*($I$3/100))*($I$4/100))/($I$5+$I$6))*$I$5)
+((((J24*8.34*$J$7*($J$3/100))*($J$4/100))/($J$5+$J$6))*$J$5)
+((((K24*8.34*$K$7*($K$3/100))*($K$4/100))/($K$5+$K$6))*$K$5)
+((((L24*8.34*$L$7*($L$3/100))*($L$4/100))/($L$5+$L$6))*$L$5)
+((((M24*8.34*$M$7*($M$3/100))*($M$4/100))/($M$5+$M$6))*$M$5)
+((((O24*8.34*$O$7*($O$3/100))*($O$4/100))/($O$5+$O$6))*$O$5)
+((((P24*8.34*$P$7*($P$3/100))*($P$4/100))/($P$5+$P$6))*$P$5)
+((((Q24*8.34*$Q$7*($Q$3/100))*($Q$4/100))/($Q$5+$Q$6))*$Q$5)
+((((U24*8.34*$U$7*($U$3/100))*($U$4/100))/($U$5+$U$6))*$U$5)
+(((((V24*$V$2)*8.34*$V$7*($V$3/100))*($V$4/100))/($V$5+$V$6))*$V$5)
+((((W24*8.34*$W$7*($W$3/100))*($W$4/100))/($W$5+$W$6))*$W$5)
+((((X24*8.34*$X$7*($X$3/100))*($X$4/100))/($X$5+$X$6))*$X$5)</f>
        <v>#REF!</v>
      </c>
      <c r="AM24" s="103" t="e">
        <f>((((B24*8.34*$B$7*($B$3/100))*($B$4/100))/($B$5+$B$6))*$B$6)
+((((#REF!*8.34*$C$7*($C$3/100))*($C$4/100))/($C$5+$C$6))*$C$6)
+((((D24*8.34*$D$7*($D$3/100))*($D$4/100))/($D$5+$D$6))*$D$6)
+((((E24*8.34*$E$7*($E$3/100))*($E$4/100))/($E$5+$E$6))*$E$6)
+((((F24*8.34*$F$7*($F$3/100))*($F$4/100))/($F$5+$F$6))*$F$6)
+((((G24*8.34*$G$7*($G$3/100))*($G$4/100))/($G$5+$G$6))*$G$6)
+((((H24*8.34*$H$7*($H$3/100))*($H$4/100))/($H$5+$H$6))*$H$6)
+((((I24*8.34*$I$7*($I$3/100))*($I$4/100))/($I$5+$I$6))*$I$6)
+((((J24*8.34*$J$7*($J$3/100))*($J$4/100))/($J$5+$J$6))*$J$6)
+((((K24*8.34*$K$7*($K$3/100))*($K$4/100))/($K$5+$K$6))*$K$6)
+((((L24*8.34*$L$7*($L$3/100))*($L$4/100))/($L$5+$L$6))*$L$6)
+((((M24*8.34*$M$7*($M$3/100))*($M$4/100))/($M$5+$M$6))*$M$6)
+((((O24*8.34*$O$7*($O$3/100))*($O$4/100))/($O$5+$O$6))*$O$6)
+((((P24*8.34*$P$7*($P$3/100))*($P$4/100))/($P$5+$P$6))*$P$6)
+((((Q24*8.34*$Q$7*($Q$3/100))*($Q$4/100))/($Q$5+$Q$6))*$Q$6)
+((((U24*8.34*$U$7*($U$3/100))*($U$4/100))/($U$5+$U$6))*$U$6)
+(((((V24*$V$2) *8.34*$V$7*($V$3/100))*($V$4/100))/($V$5+$V$6))*$V$6)
+((((W24*8.34*$W$7*($W$3/100))*($W$4/100))/($W$5+$W$6))*$W$6)
+((((X24*8.34*$X$7*($X$3/100))*($X$4/100))/($X$5+$X$6))*$X$6)</f>
        <v>#REF!</v>
      </c>
      <c r="AN24" s="46" t="e">
        <f t="shared" si="6"/>
        <v>#REF!</v>
      </c>
      <c r="AO24" s="69">
        <v>1</v>
      </c>
      <c r="AQ24" s="36" t="e">
        <f>(B24*($B$3/100)*($B$4/100)*$B$7*8.34*0.000453592*$B$8)+
(#REF!*($C$3/100)*($C$4/100)*$C$7*8.34*0.000453592*$C$8)+
(D24*($D$3/100)*($D$4/100)*$D$7*8.34*0.000453592*$D$8)+
(E24*($E$3/100)*($E$4/100)*$E$7*8.34*0.000453592*$E$8)+
(F24*($F$3/100)*($F$4/100)*$F$7*8.34*0.000453592*$F$8)+
(G24*($G$3/100)*($G$4/100)*$G$7*8.34*0.000453592*$G$8)+
(H24*($H$3/100)*($H$4/100)*$H$7*8.34*0.000453592*$H$8)+
(I24*($I$3/100)*($I$4/100)*$I$7*8.34*0.000453592*$I$8)+
(J24*($J$3/100)*($J$4/100)*$J$7*8.34*0.000453592*$J$8)+
(K24*($K$3/100)*($K$4/100)*$K$7*8.34*0.000453592*$K$8)+
(L24*($L$3/100)*($L$4/100)*$L$7*8.34*0.000453592*$L$8)+
(M24*($M$3/100)*($M$4/100)*$M$7*8.34*0.000453592*$M$8)+
(O24*($O$3/100)*($O$4/100)*$O$7*8.34*0.000453592*$O$8)+
(P24*($P$3/100)*($P$4/100)*$P$7*8.34*0.000453592*$P$8)+
(Q24*($Q$3/100)*($Q$4/100)*$Q$7*8.34*0.000453592*$Q$8)+
(U24*($U$3/100)*($U$4/100)*$U$7*8.34*0.000453592*$U$8)+
(V24*$V$2*($V$3/100)*($BV$4/100)*$V$7*8.34*0.000453592*$V$8)+
(W24*($W$3/100)*($W$4/100)*$W$7*8.34*0.000453592*$W$8)+
(X24*($X$3/100)*($X$4/100)*$X$7*8.34*0.000453592*$X$8)</f>
        <v>#REF!</v>
      </c>
      <c r="AR24" s="36" t="e">
        <f t="shared" si="7"/>
        <v>#REF!</v>
      </c>
      <c r="AU24" s="55"/>
    </row>
    <row r="25" spans="1:47" s="35" customFormat="1">
      <c r="A25" s="35">
        <v>15</v>
      </c>
      <c r="B25" s="24">
        <v>4000</v>
      </c>
      <c r="C25" s="25">
        <v>2000</v>
      </c>
      <c r="D25" s="25">
        <f>120*10</f>
        <v>1200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78">
        <v>0</v>
      </c>
      <c r="K25" s="59">
        <v>0</v>
      </c>
      <c r="L25" s="59">
        <v>0</v>
      </c>
      <c r="M25" s="119">
        <v>0</v>
      </c>
      <c r="N25" s="53">
        <v>15</v>
      </c>
      <c r="O25" s="24">
        <f>700+3500</f>
        <v>4200</v>
      </c>
      <c r="P25" s="78">
        <v>0</v>
      </c>
      <c r="Q25" s="59">
        <v>0</v>
      </c>
      <c r="R25" s="25">
        <v>30</v>
      </c>
      <c r="S25" s="59">
        <v>0</v>
      </c>
      <c r="T25" s="59">
        <v>0</v>
      </c>
      <c r="U25" s="78">
        <v>0</v>
      </c>
      <c r="V25" s="98">
        <v>0</v>
      </c>
      <c r="W25" s="25">
        <f>325*3</f>
        <v>975</v>
      </c>
      <c r="X25" s="59">
        <v>0</v>
      </c>
      <c r="Y25" s="59">
        <v>0</v>
      </c>
      <c r="Z25" s="113"/>
      <c r="AB25" s="34">
        <f t="shared" si="0"/>
        <v>7200</v>
      </c>
      <c r="AC25" s="34">
        <f t="shared" si="8"/>
        <v>5205</v>
      </c>
      <c r="AD25" s="34">
        <f t="shared" si="1"/>
        <v>12405</v>
      </c>
      <c r="AE25" s="73">
        <f t="shared" si="2"/>
        <v>58.041112454655384</v>
      </c>
      <c r="AF25" s="73">
        <f t="shared" si="3"/>
        <v>41.958887545344616</v>
      </c>
      <c r="AH25" s="71" t="e">
        <f>((B25*8.34*$B$7*($B$3/100))*($B$4/100))+((#REF!*8.34*$C$7*($C$3/100))*($C$4/100))+ ((D25*8.34*$D$7*($D$3/100))*($D$4/100))+((E25*8.34*$E$7*($E$3/100))*($E$4/100))+ ((F25*8.34*$F$7*($F$3/100))*($F$4/100))+((G25*8.34*$G$7*($G$3/100))*($G$4/100))+ ((H25*8.34*$H$7*($H$3/100))*($H$4/100))+((I25*8.34*$I$7*($I$3/100))*($I$4/100))+ ((J25*8.34*$J$7*($J$3/100))*($J$4/100))+((K25*8.34*$K$7*($K$3/100))*($K$4/100))+ ((L25*8.34*$L$7*($L$3/100))*($L$4/100))+((M25*8.34*$M$7*($M$3/100))*($M$4/100))+ ((O25*8.34*$O$7*($O$3/100))*($O$4/100))+((P25*8.34*$P$7*($P$3/100))*($P$4/100))+
((Q25*8.34*$Q$7*($Q$3/100))*($Q$4/100))+((R25*8.34*$R$7*($R$3/100))*($R$4/100))+
((U25*8.34*$U$7*($U$3/100))*($U$4/100))+(((V25*$V$2)*8.34*$V$7*($V$3/100))*($V$4/100))+
((W25*8.34*$W$7*($W$3/100))*($W$4/100))+((X25*8.34*$X$7*($X$3/100))*($X$4/100))</f>
        <v>#REF!</v>
      </c>
      <c r="AI25" s="54" t="e">
        <f t="shared" si="4"/>
        <v>#REF!</v>
      </c>
      <c r="AJ25" s="54" t="e">
        <f t="shared" si="5"/>
        <v>#REF!</v>
      </c>
      <c r="AL25" s="103" t="e">
        <f>((((B25*8.34*$B$7*($B$3/100))*($B$4/100))/($B$5+$B$6))*$B$5)
+((((#REF!*8.34*$C$7*($C$3/100))*($C$4/100))/($C$5+$C$6))*$C$5)
+((((D25*8.34*$D$7*($D$3/100))*($D$4/100))/($D$5+$D$6))*$D$5)
+((((E25*8.34*$E$7*($E$3/100))*($E$4/100))/($E$5+$E$6))*$E$5)
+((((F25*8.34*$F$7*($F$3/100))*($F$4/100))/($F$5+$F$6))*$F$5)
+((((G25*8.34*$G$7*($G$3/100))*($G$4/100))/($G$5+$G$6))*$G$5)
+((((H25*8.34*$H$7*($H$3/100))*($H$4/100))/($H$5+$H$6))*$H$5)
+((((I25*8.34*$I$7*($I$3/100))*($I$4/100))/($I$5+$I$6))*$I$5)
+((((J25*8.34*$J$7*($J$3/100))*($J$4/100))/($J$5+$J$6))*$J$5)
+((((K25*8.34*$K$7*($K$3/100))*($K$4/100))/($K$5+$K$6))*$K$5)
+((((L25*8.34*$L$7*($L$3/100))*($L$4/100))/($L$5+$L$6))*$L$5)
+((((M25*8.34*$M$7*($M$3/100))*($M$4/100))/($M$5+$M$6))*$M$5)
+((((O25*8.34*$O$7*($O$3/100))*($O$4/100))/($O$5+$O$6))*$O$5)
+((((P25*8.34*$P$7*($P$3/100))*($P$4/100))/($P$5+$P$6))*$P$5)
+((((Q25*8.34*$Q$7*($Q$3/100))*($Q$4/100))/($Q$5+$Q$6))*$Q$5)
+((((U25*8.34*$U$7*($U$3/100))*($U$4/100))/($U$5+$U$6))*$U$5)
+(((((V25*$V$2)*8.34*$V$7*($V$3/100))*($V$4/100))/($V$5+$V$6))*$V$5)
+((((W25*8.34*$W$7*($W$3/100))*($W$4/100))/($W$5+$W$6))*$W$5)
+((((X25*8.34*$X$7*($X$3/100))*($X$4/100))/($X$5+$X$6))*$X$5)</f>
        <v>#REF!</v>
      </c>
      <c r="AM25" s="103" t="e">
        <f>((((B25*8.34*$B$7*($B$3/100))*($B$4/100))/($B$5+$B$6))*$B$6)
+((((#REF!*8.34*$C$7*($C$3/100))*($C$4/100))/($C$5+$C$6))*$C$6)
+((((D25*8.34*$D$7*($D$3/100))*($D$4/100))/($D$5+$D$6))*$D$6)
+((((E25*8.34*$E$7*($E$3/100))*($E$4/100))/($E$5+$E$6))*$E$6)
+((((F25*8.34*$F$7*($F$3/100))*($F$4/100))/($F$5+$F$6))*$F$6)
+((((G25*8.34*$G$7*($G$3/100))*($G$4/100))/($G$5+$G$6))*$G$6)
+((((H25*8.34*$H$7*($H$3/100))*($H$4/100))/($H$5+$H$6))*$H$6)
+((((I25*8.34*$I$7*($I$3/100))*($I$4/100))/($I$5+$I$6))*$I$6)
+((((J25*8.34*$J$7*($J$3/100))*($J$4/100))/($J$5+$J$6))*$J$6)
+((((K25*8.34*$K$7*($K$3/100))*($K$4/100))/($K$5+$K$6))*$K$6)
+((((L25*8.34*$L$7*($L$3/100))*($L$4/100))/($L$5+$L$6))*$L$6)
+((((M25*8.34*$M$7*($M$3/100))*($M$4/100))/($M$5+$M$6))*$M$6)
+((((O25*8.34*$O$7*($O$3/100))*($O$4/100))/($O$5+$O$6))*$O$6)
+((((P25*8.34*$P$7*($P$3/100))*($P$4/100))/($P$5+$P$6))*$P$6)
+((((Q25*8.34*$Q$7*($Q$3/100))*($Q$4/100))/($Q$5+$Q$6))*$Q$6)
+((((U25*8.34*$U$7*($U$3/100))*($U$4/100))/($U$5+$U$6))*$U$6)
+(((((V25*$V$2) *8.34*$V$7*($V$3/100))*($V$4/100))/($V$5+$V$6))*$V$6)
+((((W25*8.34*$W$7*($W$3/100))*($W$4/100))/($W$5+$W$6))*$W$6)
+((((X25*8.34*$X$7*($X$3/100))*($X$4/100))/($X$5+$X$6))*$X$6)</f>
        <v>#REF!</v>
      </c>
      <c r="AN25" s="46" t="e">
        <f t="shared" si="6"/>
        <v>#REF!</v>
      </c>
      <c r="AO25" s="69">
        <v>1</v>
      </c>
      <c r="AQ25" s="36" t="e">
        <f>(B25*($B$3/100)*($B$4/100)*$B$7*8.34*0.000453592*$B$8)+
(#REF!*($C$3/100)*($C$4/100)*$C$7*8.34*0.000453592*$C$8)+
(D25*($D$3/100)*($D$4/100)*$D$7*8.34*0.000453592*$D$8)+
(E25*($E$3/100)*($E$4/100)*$E$7*8.34*0.000453592*$E$8)+
(F25*($F$3/100)*($F$4/100)*$F$7*8.34*0.000453592*$F$8)+
(G25*($G$3/100)*($G$4/100)*$G$7*8.34*0.000453592*$G$8)+
(H25*($H$3/100)*($H$4/100)*$H$7*8.34*0.000453592*$H$8)+
(I25*($I$3/100)*($I$4/100)*$I$7*8.34*0.000453592*$I$8)+
(J25*($J$3/100)*($J$4/100)*$J$7*8.34*0.000453592*$J$8)+
(K25*($K$3/100)*($K$4/100)*$K$7*8.34*0.000453592*$K$8)+
(L25*($L$3/100)*($L$4/100)*$L$7*8.34*0.000453592*$L$8)+
(M25*($M$3/100)*($M$4/100)*$M$7*8.34*0.000453592*$M$8)+
(O25*($O$3/100)*($O$4/100)*$O$7*8.34*0.000453592*$O$8)+
(P25*($P$3/100)*($P$4/100)*$P$7*8.34*0.000453592*$P$8)+
(Q25*($Q$3/100)*($Q$4/100)*$Q$7*8.34*0.000453592*$Q$8)+
(U25*($U$3/100)*($U$4/100)*$U$7*8.34*0.000453592*$U$8)+
(V25*$V$2*($V$3/100)*($BV$4/100)*$V$7*8.34*0.000453592*$V$8)+
(W25*($W$3/100)*($W$4/100)*$W$7*8.34*0.000453592*$W$8)+
(X25*($X$3/100)*($X$4/100)*$X$7*8.34*0.000453592*$X$8)</f>
        <v>#REF!</v>
      </c>
      <c r="AR25" s="36" t="e">
        <f t="shared" si="7"/>
        <v>#REF!</v>
      </c>
      <c r="AU25" s="55"/>
    </row>
    <row r="26" spans="1:47" s="35" customFormat="1">
      <c r="A26" s="35">
        <v>16</v>
      </c>
      <c r="B26" s="24">
        <v>4000</v>
      </c>
      <c r="C26" s="25">
        <v>2000</v>
      </c>
      <c r="D26" s="25">
        <f>12*120</f>
        <v>1440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25">
        <f>2000+2000</f>
        <v>4000</v>
      </c>
      <c r="K26" s="59">
        <v>0</v>
      </c>
      <c r="L26" s="59">
        <v>0</v>
      </c>
      <c r="M26" s="119">
        <v>0</v>
      </c>
      <c r="N26" s="53">
        <v>16</v>
      </c>
      <c r="O26" s="80">
        <v>0</v>
      </c>
      <c r="P26" s="78">
        <v>0</v>
      </c>
      <c r="Q26" s="59">
        <v>0</v>
      </c>
      <c r="R26" s="25">
        <v>30</v>
      </c>
      <c r="S26" s="59">
        <v>0</v>
      </c>
      <c r="T26" s="59">
        <v>0</v>
      </c>
      <c r="U26" s="78">
        <v>0</v>
      </c>
      <c r="V26" s="98">
        <v>0</v>
      </c>
      <c r="W26" s="25">
        <v>975</v>
      </c>
      <c r="X26" s="59">
        <v>0</v>
      </c>
      <c r="Y26" s="59">
        <v>0</v>
      </c>
      <c r="Z26" s="113"/>
      <c r="AB26" s="34">
        <f t="shared" si="0"/>
        <v>11440</v>
      </c>
      <c r="AC26" s="34">
        <f t="shared" si="8"/>
        <v>1005</v>
      </c>
      <c r="AD26" s="34">
        <f t="shared" si="1"/>
        <v>12445</v>
      </c>
      <c r="AE26" s="73">
        <f t="shared" si="2"/>
        <v>91.924467657693853</v>
      </c>
      <c r="AF26" s="73">
        <f t="shared" si="3"/>
        <v>8.0755323423061469</v>
      </c>
      <c r="AH26" s="71" t="e">
        <f>((B26*8.34*$B$7*($B$3/100))*($B$4/100))+((#REF!*8.34*$C$7*($C$3/100))*($C$4/100))+ ((D26*8.34*$D$7*($D$3/100))*($D$4/100))+((E26*8.34*$E$7*($E$3/100))*($E$4/100))+ ((F26*8.34*$F$7*($F$3/100))*($F$4/100))+((G26*8.34*$G$7*($G$3/100))*($G$4/100))+ ((H26*8.34*$H$7*($H$3/100))*($H$4/100))+((I26*8.34*$I$7*($I$3/100))*($I$4/100))+ ((J26*8.34*$J$7*($J$3/100))*($J$4/100))+((K26*8.34*$K$7*($K$3/100))*($K$4/100))+ ((L26*8.34*$L$7*($L$3/100))*($L$4/100))+((M26*8.34*$M$7*($M$3/100))*($M$4/100))+ ((O26*8.34*$O$7*($O$3/100))*($O$4/100))+((P26*8.34*$P$7*($P$3/100))*($P$4/100))+
((Q26*8.34*$Q$7*($Q$3/100))*($Q$4/100))+((R26*8.34*$R$7*($R$3/100))*($R$4/100))+
((U26*8.34*$U$7*($U$3/100))*($U$4/100))+(((V26*$V$2)*8.34*$V$7*($V$3/100))*($V$4/100))+
((W26*8.34*$W$7*($W$3/100))*($W$4/100))+((X26*8.34*$X$7*($X$3/100))*($X$4/100))</f>
        <v>#REF!</v>
      </c>
      <c r="AI26" s="54" t="e">
        <f t="shared" si="4"/>
        <v>#REF!</v>
      </c>
      <c r="AJ26" s="54" t="e">
        <f t="shared" si="5"/>
        <v>#REF!</v>
      </c>
      <c r="AL26" s="103" t="e">
        <f>((((B26*8.34*$B$7*($B$3/100))*($B$4/100))/($B$5+$B$6))*$B$5)
+((((#REF!*8.34*$C$7*($C$3/100))*($C$4/100))/($C$5+$C$6))*$C$5)
+((((D26*8.34*$D$7*($D$3/100))*($D$4/100))/($D$5+$D$6))*$D$5)
+((((E26*8.34*$E$7*($E$3/100))*($E$4/100))/($E$5+$E$6))*$E$5)
+((((F26*8.34*$F$7*($F$3/100))*($F$4/100))/($F$5+$F$6))*$F$5)
+((((G26*8.34*$G$7*($G$3/100))*($G$4/100))/($G$5+$G$6))*$G$5)
+((((H26*8.34*$H$7*($H$3/100))*($H$4/100))/($H$5+$H$6))*$H$5)
+((((I26*8.34*$I$7*($I$3/100))*($I$4/100))/($I$5+$I$6))*$I$5)
+((((J26*8.34*$J$7*($J$3/100))*($J$4/100))/($J$5+$J$6))*$J$5)
+((((K26*8.34*$K$7*($K$3/100))*($K$4/100))/($K$5+$K$6))*$K$5)
+((((L26*8.34*$L$7*($L$3/100))*($L$4/100))/($L$5+$L$6))*$L$5)
+((((M26*8.34*$M$7*($M$3/100))*($M$4/100))/($M$5+$M$6))*$M$5)
+((((O26*8.34*$O$7*($O$3/100))*($O$4/100))/($O$5+$O$6))*$O$5)
+((((P26*8.34*$P$7*($P$3/100))*($P$4/100))/($P$5+$P$6))*$P$5)
+((((Q26*8.34*$Q$7*($Q$3/100))*($Q$4/100))/($Q$5+$Q$6))*$Q$5)
+((((U26*8.34*$U$7*($U$3/100))*($U$4/100))/($U$5+$U$6))*$U$5)
+(((((V26*$V$2)*8.34*$V$7*($V$3/100))*($V$4/100))/($V$5+$V$6))*$V$5)
+((((W26*8.34*$W$7*($W$3/100))*($W$4/100))/($W$5+$W$6))*$W$5)
+((((X26*8.34*$X$7*($X$3/100))*($X$4/100))/($X$5+$X$6))*$X$5)</f>
        <v>#REF!</v>
      </c>
      <c r="AM26" s="103" t="e">
        <f>((((B26*8.34*$B$7*($B$3/100))*($B$4/100))/($B$5+$B$6))*$B$6)
+((((#REF!*8.34*$C$7*($C$3/100))*($C$4/100))/($C$5+$C$6))*$C$6)
+((((D26*8.34*$D$7*($D$3/100))*($D$4/100))/($D$5+$D$6))*$D$6)
+((((E26*8.34*$E$7*($E$3/100))*($E$4/100))/($E$5+$E$6))*$E$6)
+((((F26*8.34*$F$7*($F$3/100))*($F$4/100))/($F$5+$F$6))*$F$6)
+((((G26*8.34*$G$7*($G$3/100))*($G$4/100))/($G$5+$G$6))*$G$6)
+((((H26*8.34*$H$7*($H$3/100))*($H$4/100))/($H$5+$H$6))*$H$6)
+((((I26*8.34*$I$7*($I$3/100))*($I$4/100))/($I$5+$I$6))*$I$6)
+((((J26*8.34*$J$7*($J$3/100))*($J$4/100))/($J$5+$J$6))*$J$6)
+((((K26*8.34*$K$7*($K$3/100))*($K$4/100))/($K$5+$K$6))*$K$6)
+((((L26*8.34*$L$7*($L$3/100))*($L$4/100))/($L$5+$L$6))*$L$6)
+((((M26*8.34*$M$7*($M$3/100))*($M$4/100))/($M$5+$M$6))*$M$6)
+((((O26*8.34*$O$7*($O$3/100))*($O$4/100))/($O$5+$O$6))*$O$6)
+((((P26*8.34*$P$7*($P$3/100))*($P$4/100))/($P$5+$P$6))*$P$6)
+((((Q26*8.34*$Q$7*($Q$3/100))*($Q$4/100))/($Q$5+$Q$6))*$Q$6)
+((((U26*8.34*$U$7*($U$3/100))*($U$4/100))/($U$5+$U$6))*$U$6)
+(((((V26*$V$2) *8.34*$V$7*($V$3/100))*($V$4/100))/($V$5+$V$6))*$V$6)
+((((W26*8.34*$W$7*($W$3/100))*($W$4/100))/($W$5+$W$6))*$W$6)
+((((X26*8.34*$X$7*($X$3/100))*($X$4/100))/($X$5+$X$6))*$X$6)</f>
        <v>#REF!</v>
      </c>
      <c r="AN26" s="46" t="e">
        <f t="shared" si="6"/>
        <v>#REF!</v>
      </c>
      <c r="AO26" s="69">
        <v>1</v>
      </c>
      <c r="AQ26" s="36" t="e">
        <f>(B26*($B$3/100)*($B$4/100)*$B$7*8.34*0.000453592*$B$8)+
(#REF!*($C$3/100)*($C$4/100)*$C$7*8.34*0.000453592*$C$8)+
(D26*($D$3/100)*($D$4/100)*$D$7*8.34*0.000453592*$D$8)+
(E26*($E$3/100)*($E$4/100)*$E$7*8.34*0.000453592*$E$8)+
(F26*($F$3/100)*($F$4/100)*$F$7*8.34*0.000453592*$F$8)+
(G26*($G$3/100)*($G$4/100)*$G$7*8.34*0.000453592*$G$8)+
(H26*($H$3/100)*($H$4/100)*$H$7*8.34*0.000453592*$H$8)+
(I26*($I$3/100)*($I$4/100)*$I$7*8.34*0.000453592*$I$8)+
(J26*($J$3/100)*($J$4/100)*$J$7*8.34*0.000453592*$J$8)+
(K26*($K$3/100)*($K$4/100)*$K$7*8.34*0.000453592*$K$8)+
(L26*($L$3/100)*($L$4/100)*$L$7*8.34*0.000453592*$L$8)+
(M26*($M$3/100)*($M$4/100)*$M$7*8.34*0.000453592*$M$8)+
(O26*($O$3/100)*($O$4/100)*$O$7*8.34*0.000453592*$O$8)+
(P26*($P$3/100)*($P$4/100)*$P$7*8.34*0.000453592*$P$8)+
(Q26*($Q$3/100)*($Q$4/100)*$Q$7*8.34*0.000453592*$Q$8)+
(U26*($U$3/100)*($U$4/100)*$U$7*8.34*0.000453592*$U$8)+
(V26*$V$2*($V$3/100)*($BV$4/100)*$V$7*8.34*0.000453592*$V$8)+
(W26*($W$3/100)*($W$4/100)*$W$7*8.34*0.000453592*$W$8)+
(X26*($X$3/100)*($X$4/100)*$X$7*8.34*0.000453592*$X$8)</f>
        <v>#REF!</v>
      </c>
      <c r="AR26" s="36" t="e">
        <f t="shared" si="7"/>
        <v>#REF!</v>
      </c>
      <c r="AU26" s="55"/>
    </row>
    <row r="27" spans="1:47" s="35" customFormat="1">
      <c r="A27" s="35">
        <v>17</v>
      </c>
      <c r="B27" s="24">
        <v>4000</v>
      </c>
      <c r="C27" s="25">
        <v>2000</v>
      </c>
      <c r="D27" s="78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25">
        <v>4000</v>
      </c>
      <c r="K27" s="59">
        <v>0</v>
      </c>
      <c r="L27" s="59">
        <v>0</v>
      </c>
      <c r="M27" s="119">
        <v>0</v>
      </c>
      <c r="N27" s="53">
        <v>17</v>
      </c>
      <c r="O27" s="80">
        <v>0</v>
      </c>
      <c r="P27" s="78">
        <v>0</v>
      </c>
      <c r="Q27" s="59">
        <v>0</v>
      </c>
      <c r="R27" s="25">
        <v>30</v>
      </c>
      <c r="S27" s="59">
        <v>0</v>
      </c>
      <c r="T27" s="59">
        <v>0</v>
      </c>
      <c r="U27" s="78">
        <v>0</v>
      </c>
      <c r="V27" s="98">
        <v>0</v>
      </c>
      <c r="W27" s="78">
        <v>0</v>
      </c>
      <c r="X27" s="59">
        <v>0</v>
      </c>
      <c r="Y27" s="59">
        <v>0</v>
      </c>
      <c r="Z27" s="113"/>
      <c r="AB27" s="34">
        <f t="shared" si="0"/>
        <v>10000</v>
      </c>
      <c r="AC27" s="34">
        <f t="shared" si="8"/>
        <v>30</v>
      </c>
      <c r="AD27" s="34">
        <f t="shared" si="1"/>
        <v>10030</v>
      </c>
      <c r="AE27" s="73">
        <f t="shared" si="2"/>
        <v>99.700897308075767</v>
      </c>
      <c r="AF27" s="73">
        <f t="shared" si="3"/>
        <v>0.29910269192422734</v>
      </c>
      <c r="AH27" s="71" t="e">
        <f>((B27*8.34*$B$7*($B$3/100))*($B$4/100))+((#REF!*8.34*$C$7*($C$3/100))*($C$4/100))+ ((D27*8.34*$D$7*($D$3/100))*($D$4/100))+((E27*8.34*$E$7*($E$3/100))*($E$4/100))+ ((F27*8.34*$F$7*($F$3/100))*($F$4/100))+((G27*8.34*$G$7*($G$3/100))*($G$4/100))+ ((H27*8.34*$H$7*($H$3/100))*($H$4/100))+((I27*8.34*$I$7*($I$3/100))*($I$4/100))+ ((J27*8.34*$J$7*($J$3/100))*($J$4/100))+((K27*8.34*$K$7*($K$3/100))*($K$4/100))+ ((L27*8.34*$L$7*($L$3/100))*($L$4/100))+((M27*8.34*$M$7*($M$3/100))*($M$4/100))+ ((O27*8.34*$O$7*($O$3/100))*($O$4/100))+((P27*8.34*$P$7*($P$3/100))*($P$4/100))+
((Q27*8.34*$Q$7*($Q$3/100))*($Q$4/100))+((R27*8.34*$R$7*($R$3/100))*($R$4/100))+
((U27*8.34*$U$7*($U$3/100))*($U$4/100))+(((V27*$V$2)*8.34*$V$7*($V$3/100))*($V$4/100))+
((W27*8.34*$W$7*($W$3/100))*($W$4/100))+((X27*8.34*$X$7*($X$3/100))*($X$4/100))</f>
        <v>#REF!</v>
      </c>
      <c r="AI27" s="54" t="e">
        <f t="shared" si="4"/>
        <v>#REF!</v>
      </c>
      <c r="AJ27" s="54" t="e">
        <f t="shared" si="5"/>
        <v>#REF!</v>
      </c>
      <c r="AL27" s="103" t="e">
        <f>((((B27*8.34*$B$7*($B$3/100))*($B$4/100))/($B$5+$B$6))*$B$5)
+((((#REF!*8.34*$C$7*($C$3/100))*($C$4/100))/($C$5+$C$6))*$C$5)
+((((D27*8.34*$D$7*($D$3/100))*($D$4/100))/($D$5+$D$6))*$D$5)
+((((E27*8.34*$E$7*($E$3/100))*($E$4/100))/($E$5+$E$6))*$E$5)
+((((F27*8.34*$F$7*($F$3/100))*($F$4/100))/($F$5+$F$6))*$F$5)
+((((G27*8.34*$G$7*($G$3/100))*($G$4/100))/($G$5+$G$6))*$G$5)
+((((H27*8.34*$H$7*($H$3/100))*($H$4/100))/($H$5+$H$6))*$H$5)
+((((I27*8.34*$I$7*($I$3/100))*($I$4/100))/($I$5+$I$6))*$I$5)
+((((J27*8.34*$J$7*($J$3/100))*($J$4/100))/($J$5+$J$6))*$J$5)
+((((K27*8.34*$K$7*($K$3/100))*($K$4/100))/($K$5+$K$6))*$K$5)
+((((L27*8.34*$L$7*($L$3/100))*($L$4/100))/($L$5+$L$6))*$L$5)
+((((M27*8.34*$M$7*($M$3/100))*($M$4/100))/($M$5+$M$6))*$M$5)
+((((O27*8.34*$O$7*($O$3/100))*($O$4/100))/($O$5+$O$6))*$O$5)
+((((P27*8.34*$P$7*($P$3/100))*($P$4/100))/($P$5+$P$6))*$P$5)
+((((Q27*8.34*$Q$7*($Q$3/100))*($Q$4/100))/($Q$5+$Q$6))*$Q$5)
+((((U27*8.34*$U$7*($U$3/100))*($U$4/100))/($U$5+$U$6))*$U$5)
+(((((V27*$V$2)*8.34*$V$7*($V$3/100))*($V$4/100))/($V$5+$V$6))*$V$5)
+((((W27*8.34*$W$7*($W$3/100))*($W$4/100))/($W$5+$W$6))*$W$5)
+((((X27*8.34*$X$7*($X$3/100))*($X$4/100))/($X$5+$X$6))*$X$5)</f>
        <v>#REF!</v>
      </c>
      <c r="AM27" s="103" t="e">
        <f>((((B27*8.34*$B$7*($B$3/100))*($B$4/100))/($B$5+$B$6))*$B$6)
+((((#REF!*8.34*$C$7*($C$3/100))*($C$4/100))/($C$5+$C$6))*$C$6)
+((((D27*8.34*$D$7*($D$3/100))*($D$4/100))/($D$5+$D$6))*$D$6)
+((((E27*8.34*$E$7*($E$3/100))*($E$4/100))/($E$5+$E$6))*$E$6)
+((((F27*8.34*$F$7*($F$3/100))*($F$4/100))/($F$5+$F$6))*$F$6)
+((((G27*8.34*$G$7*($G$3/100))*($G$4/100))/($G$5+$G$6))*$G$6)
+((((H27*8.34*$H$7*($H$3/100))*($H$4/100))/($H$5+$H$6))*$H$6)
+((((I27*8.34*$I$7*($I$3/100))*($I$4/100))/($I$5+$I$6))*$I$6)
+((((J27*8.34*$J$7*($J$3/100))*($J$4/100))/($J$5+$J$6))*$J$6)
+((((K27*8.34*$K$7*($K$3/100))*($K$4/100))/($K$5+$K$6))*$K$6)
+((((L27*8.34*$L$7*($L$3/100))*($L$4/100))/($L$5+$L$6))*$L$6)
+((((M27*8.34*$M$7*($M$3/100))*($M$4/100))/($M$5+$M$6))*$M$6)
+((((O27*8.34*$O$7*($O$3/100))*($O$4/100))/($O$5+$O$6))*$O$6)
+((((P27*8.34*$P$7*($P$3/100))*($P$4/100))/($P$5+$P$6))*$P$6)
+((((Q27*8.34*$Q$7*($Q$3/100))*($Q$4/100))/($Q$5+$Q$6))*$Q$6)
+((((U27*8.34*$U$7*($U$3/100))*($U$4/100))/($U$5+$U$6))*$U$6)
+(((((V27*$V$2) *8.34*$V$7*($V$3/100))*($V$4/100))/($V$5+$V$6))*$V$6)
+((((W27*8.34*$W$7*($W$3/100))*($W$4/100))/($W$5+$W$6))*$W$6)
+((((X27*8.34*$X$7*($X$3/100))*($X$4/100))/($X$5+$X$6))*$X$6)</f>
        <v>#REF!</v>
      </c>
      <c r="AN27" s="46" t="e">
        <f t="shared" si="6"/>
        <v>#REF!</v>
      </c>
      <c r="AO27" s="69">
        <v>1</v>
      </c>
      <c r="AQ27" s="36" t="e">
        <f>(B27*($B$3/100)*($B$4/100)*$B$7*8.34*0.000453592*$B$8)+
(#REF!*($C$3/100)*($C$4/100)*$C$7*8.34*0.000453592*$C$8)+
(D27*($D$3/100)*($D$4/100)*$D$7*8.34*0.000453592*$D$8)+
(E27*($E$3/100)*($E$4/100)*$E$7*8.34*0.000453592*$E$8)+
(F27*($F$3/100)*($F$4/100)*$F$7*8.34*0.000453592*$F$8)+
(G27*($G$3/100)*($G$4/100)*$G$7*8.34*0.000453592*$G$8)+
(H27*($H$3/100)*($H$4/100)*$H$7*8.34*0.000453592*$H$8)+
(I27*($I$3/100)*($I$4/100)*$I$7*8.34*0.000453592*$I$8)+
(J27*($J$3/100)*($J$4/100)*$J$7*8.34*0.000453592*$J$8)+
(K27*($K$3/100)*($K$4/100)*$K$7*8.34*0.000453592*$K$8)+
(L27*($L$3/100)*($L$4/100)*$L$7*8.34*0.000453592*$L$8)+
(M27*($M$3/100)*($M$4/100)*$M$7*8.34*0.000453592*$M$8)+
(O27*($O$3/100)*($O$4/100)*$O$7*8.34*0.000453592*$O$8)+
(P27*($P$3/100)*($P$4/100)*$P$7*8.34*0.000453592*$P$8)+
(Q27*($Q$3/100)*($Q$4/100)*$Q$7*8.34*0.000453592*$Q$8)+
(U27*($U$3/100)*($U$4/100)*$U$7*8.34*0.000453592*$U$8)+
(V27*$V$2*($V$3/100)*($BV$4/100)*$V$7*8.34*0.000453592*$V$8)+
(W27*($W$3/100)*($W$4/100)*$W$7*8.34*0.000453592*$W$8)+
(X27*($X$3/100)*($X$4/100)*$X$7*8.34*0.000453592*$X$8)</f>
        <v>#REF!</v>
      </c>
      <c r="AR27" s="36" t="e">
        <f t="shared" si="7"/>
        <v>#REF!</v>
      </c>
      <c r="AU27" s="55"/>
    </row>
    <row r="28" spans="1:47">
      <c r="A28">
        <v>18</v>
      </c>
      <c r="B28" s="24">
        <v>4000</v>
      </c>
      <c r="C28" s="25">
        <v>2000</v>
      </c>
      <c r="D28" s="25">
        <f>10*120</f>
        <v>1200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25">
        <v>4000</v>
      </c>
      <c r="K28" s="59">
        <v>0</v>
      </c>
      <c r="L28" s="59">
        <v>0</v>
      </c>
      <c r="M28" s="119">
        <v>0</v>
      </c>
      <c r="N28" s="8">
        <v>18</v>
      </c>
      <c r="O28" s="24">
        <f>300+3500</f>
        <v>3800</v>
      </c>
      <c r="P28" s="78">
        <v>0</v>
      </c>
      <c r="Q28" s="59">
        <v>0</v>
      </c>
      <c r="R28" s="78">
        <v>0</v>
      </c>
      <c r="S28" s="59">
        <v>0</v>
      </c>
      <c r="T28" s="59">
        <v>0</v>
      </c>
      <c r="U28" s="78">
        <v>0</v>
      </c>
      <c r="V28" s="98">
        <v>0</v>
      </c>
      <c r="W28" s="78">
        <v>0</v>
      </c>
      <c r="X28" s="59">
        <v>0</v>
      </c>
      <c r="Y28" s="59">
        <v>0</v>
      </c>
      <c r="Z28" s="113"/>
      <c r="AB28" s="10">
        <f t="shared" si="0"/>
        <v>11200</v>
      </c>
      <c r="AC28" s="34">
        <f t="shared" si="8"/>
        <v>3800</v>
      </c>
      <c r="AD28" s="10">
        <f t="shared" si="1"/>
        <v>15000</v>
      </c>
      <c r="AE28" s="72">
        <f t="shared" si="2"/>
        <v>74.666666666666671</v>
      </c>
      <c r="AF28" s="72">
        <f t="shared" si="3"/>
        <v>25.333333333333332</v>
      </c>
      <c r="AH28" s="70" t="e">
        <f>((B28*8.34*$B$7*($B$3/100))*($B$4/100))+((#REF!*8.34*$C$7*($C$3/100))*($C$4/100))+ ((D28*8.34*$D$7*($D$3/100))*($D$4/100))+((E28*8.34*$E$7*($E$3/100))*($E$4/100))+ ((F28*8.34*$F$7*($F$3/100))*($F$4/100))+((G28*8.34*$G$7*($G$3/100))*($G$4/100))+ ((H28*8.34*$H$7*($H$3/100))*($H$4/100))+((I28*8.34*$I$7*($I$3/100))*($I$4/100))+ ((J28*8.34*$J$7*($J$3/100))*($J$4/100))+((K28*8.34*$K$7*($K$3/100))*($K$4/100))+ ((L28*8.34*$L$7*($L$3/100))*($L$4/100))+((M28*8.34*$M$7*($M$3/100))*($M$4/100))+ ((O28*8.34*$O$7*($O$3/100))*($O$4/100))+((P28*8.34*$P$7*($P$3/100))*($P$4/100))+
((Q28*8.34*$Q$7*($Q$3/100))*($Q$4/100))+((R28*8.34*$R$7*($R$3/100))*($R$4/100))+
((U28*8.34*$U$7*($U$3/100))*($U$4/100))+(((V28*$V$2)*8.34*$V$7*($V$3/100))*($V$4/100))+
((W28*8.34*$W$7*($W$3/100))*($W$4/100))+((X28*8.34*$X$7*($X$3/100))*($X$4/100))</f>
        <v>#REF!</v>
      </c>
      <c r="AI28" s="17" t="e">
        <f t="shared" si="4"/>
        <v>#REF!</v>
      </c>
      <c r="AJ28" s="17" t="e">
        <f t="shared" si="5"/>
        <v>#REF!</v>
      </c>
      <c r="AL28" s="102" t="e">
        <f>((((B28*8.34*$B$7*($B$3/100))*($B$4/100))/($B$5+$B$6))*$B$5)
+((((#REF!*8.34*$C$7*($C$3/100))*($C$4/100))/($C$5+$C$6))*$C$5)
+((((D28*8.34*$D$7*($D$3/100))*($D$4/100))/($D$5+$D$6))*$D$5)
+((((E28*8.34*$E$7*($E$3/100))*($E$4/100))/($E$5+$E$6))*$E$5)
+((((F28*8.34*$F$7*($F$3/100))*($F$4/100))/($F$5+$F$6))*$F$5)
+((((G28*8.34*$G$7*($G$3/100))*($G$4/100))/($G$5+$G$6))*$G$5)
+((((H28*8.34*$H$7*($H$3/100))*($H$4/100))/($H$5+$H$6))*$H$5)
+((((I28*8.34*$I$7*($I$3/100))*($I$4/100))/($I$5+$I$6))*$I$5)
+((((J28*8.34*$J$7*($J$3/100))*($J$4/100))/($J$5+$J$6))*$J$5)
+((((K28*8.34*$K$7*($K$3/100))*($K$4/100))/($K$5+$K$6))*$K$5)
+((((L28*8.34*$L$7*($L$3/100))*($L$4/100))/($L$5+$L$6))*$L$5)
+((((M28*8.34*$M$7*($M$3/100))*($M$4/100))/($M$5+$M$6))*$M$5)
+((((O28*8.34*$O$7*($O$3/100))*($O$4/100))/($O$5+$O$6))*$O$5)
+((((P28*8.34*$P$7*($P$3/100))*($P$4/100))/($P$5+$P$6))*$P$5)
+((((Q28*8.34*$Q$7*($Q$3/100))*($Q$4/100))/($Q$5+$Q$6))*$Q$5)
+((((U28*8.34*$U$7*($U$3/100))*($U$4/100))/($U$5+$U$6))*$U$5)
+(((((V28*$V$2)*8.34*$V$7*($V$3/100))*($V$4/100))/($V$5+$V$6))*$V$5)
+((((W28*8.34*$W$7*($W$3/100))*($W$4/100))/($W$5+$W$6))*$W$5)
+((((X28*8.34*$X$7*($X$3/100))*($X$4/100))/($X$5+$X$6))*$X$5)</f>
        <v>#REF!</v>
      </c>
      <c r="AM28" s="102" t="e">
        <f>((((B28*8.34*$B$7*($B$3/100))*($B$4/100))/($B$5+$B$6))*$B$6)
+((((#REF!*8.34*$C$7*($C$3/100))*($C$4/100))/($C$5+$C$6))*$C$6)
+((((D28*8.34*$D$7*($D$3/100))*($D$4/100))/($D$5+$D$6))*$D$6)
+((((E28*8.34*$E$7*($E$3/100))*($E$4/100))/($E$5+$E$6))*$E$6)
+((((F28*8.34*$F$7*($F$3/100))*($F$4/100))/($F$5+$F$6))*$F$6)
+((((G28*8.34*$G$7*($G$3/100))*($G$4/100))/($G$5+$G$6))*$G$6)
+((((H28*8.34*$H$7*($H$3/100))*($H$4/100))/($H$5+$H$6))*$H$6)
+((((I28*8.34*$I$7*($I$3/100))*($I$4/100))/($I$5+$I$6))*$I$6)
+((((J28*8.34*$J$7*($J$3/100))*($J$4/100))/($J$5+$J$6))*$J$6)
+((((K28*8.34*$K$7*($K$3/100))*($K$4/100))/($K$5+$K$6))*$K$6)
+((((L28*8.34*$L$7*($L$3/100))*($L$4/100))/($L$5+$L$6))*$L$6)
+((((M28*8.34*$M$7*($M$3/100))*($M$4/100))/($M$5+$M$6))*$M$6)
+((((O28*8.34*$O$7*($O$3/100))*($O$4/100))/($O$5+$O$6))*$O$6)
+((((P28*8.34*$P$7*($P$3/100))*($P$4/100))/($P$5+$P$6))*$P$6)
+((((Q28*8.34*$Q$7*($Q$3/100))*($Q$4/100))/($Q$5+$Q$6))*$Q$6)
+((((U28*8.34*$U$7*($U$3/100))*($U$4/100))/($U$5+$U$6))*$U$6)
+(((((V28*$V$2) *8.34*$V$7*($V$3/100))*($V$4/100))/($V$5+$V$6))*$V$6)
+((((W28*8.34*$W$7*($W$3/100))*($W$4/100))/($W$5+$W$6))*$W$6)
+((((X28*8.34*$X$7*($X$3/100))*($X$4/100))/($X$5+$X$6))*$X$6)</f>
        <v>#REF!</v>
      </c>
      <c r="AN28" s="46" t="e">
        <f t="shared" si="6"/>
        <v>#REF!</v>
      </c>
      <c r="AO28" s="68">
        <v>1</v>
      </c>
      <c r="AQ28" s="7" t="e">
        <f>(B28*($B$3/100)*($B$4/100)*$B$7*8.34*0.000453592*$B$8)+
(#REF!*($C$3/100)*($C$4/100)*$C$7*8.34*0.000453592*$C$8)+
(D28*($D$3/100)*($D$4/100)*$D$7*8.34*0.000453592*$D$8)+
(E28*($E$3/100)*($E$4/100)*$E$7*8.34*0.000453592*$E$8)+
(F28*($F$3/100)*($F$4/100)*$F$7*8.34*0.000453592*$F$8)+
(G28*($G$3/100)*($G$4/100)*$G$7*8.34*0.000453592*$G$8)+
(H28*($H$3/100)*($H$4/100)*$H$7*8.34*0.000453592*$H$8)+
(I28*($I$3/100)*($I$4/100)*$I$7*8.34*0.000453592*$I$8)+
(J28*($J$3/100)*($J$4/100)*$J$7*8.34*0.000453592*$J$8)+
(K28*($K$3/100)*($K$4/100)*$K$7*8.34*0.000453592*$K$8)+
(L28*($L$3/100)*($L$4/100)*$L$7*8.34*0.000453592*$L$8)+
(M28*($M$3/100)*($M$4/100)*$M$7*8.34*0.000453592*$M$8)+
(O28*($O$3/100)*($O$4/100)*$O$7*8.34*0.000453592*$O$8)+
(P28*($P$3/100)*($P$4/100)*$P$7*8.34*0.000453592*$P$8)+
(Q28*($Q$3/100)*($Q$4/100)*$Q$7*8.34*0.000453592*$Q$8)+
(U28*($U$3/100)*($U$4/100)*$U$7*8.34*0.000453592*$U$8)+
(V28*$V$2*($V$3/100)*($BV$4/100)*$V$7*8.34*0.000453592*$V$8)+
(W28*($W$3/100)*($W$4/100)*$W$7*8.34*0.000453592*$W$8)+
(X28*($X$3/100)*($X$4/100)*$X$7*8.34*0.000453592*$X$8)</f>
        <v>#REF!</v>
      </c>
      <c r="AR28" s="7" t="e">
        <f t="shared" si="7"/>
        <v>#REF!</v>
      </c>
      <c r="AU28" s="40"/>
    </row>
    <row r="29" spans="1:47">
      <c r="A29">
        <v>19</v>
      </c>
      <c r="B29" s="24">
        <v>4000</v>
      </c>
      <c r="C29" s="25">
        <v>2000</v>
      </c>
      <c r="D29" s="25">
        <f>10*120</f>
        <v>1200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25">
        <v>4000</v>
      </c>
      <c r="K29" s="59">
        <v>0</v>
      </c>
      <c r="L29" s="59">
        <v>0</v>
      </c>
      <c r="M29" s="119">
        <v>0</v>
      </c>
      <c r="N29" s="8">
        <v>19</v>
      </c>
      <c r="O29" s="24">
        <v>1000</v>
      </c>
      <c r="P29" s="78">
        <v>0</v>
      </c>
      <c r="Q29" s="59">
        <v>0</v>
      </c>
      <c r="R29" s="25">
        <v>30</v>
      </c>
      <c r="S29" s="59">
        <v>0</v>
      </c>
      <c r="T29" s="59">
        <v>0</v>
      </c>
      <c r="U29" s="78">
        <v>0</v>
      </c>
      <c r="V29" s="98">
        <v>0</v>
      </c>
      <c r="W29" s="78">
        <v>0</v>
      </c>
      <c r="X29" s="59">
        <v>0</v>
      </c>
      <c r="Y29" s="59">
        <v>0</v>
      </c>
      <c r="Z29" s="113"/>
      <c r="AB29" s="10">
        <f t="shared" si="0"/>
        <v>11200</v>
      </c>
      <c r="AC29" s="34">
        <f t="shared" si="8"/>
        <v>1030</v>
      </c>
      <c r="AD29" s="10">
        <f t="shared" si="1"/>
        <v>12230</v>
      </c>
      <c r="AE29" s="72">
        <f t="shared" si="2"/>
        <v>91.578086672117749</v>
      </c>
      <c r="AF29" s="72">
        <f t="shared" si="3"/>
        <v>8.4219133278822564</v>
      </c>
      <c r="AH29" s="70" t="e">
        <f>((B29*8.34*$B$7*($B$3/100))*($B$4/100))+((#REF!*8.34*$C$7*($C$3/100))*($C$4/100))+ ((D29*8.34*$D$7*($D$3/100))*($D$4/100))+((E29*8.34*$E$7*($E$3/100))*($E$4/100))+ ((F29*8.34*$F$7*($F$3/100))*($F$4/100))+((G29*8.34*$G$7*($G$3/100))*($G$4/100))+ ((H29*8.34*$H$7*($H$3/100))*($H$4/100))+((I29*8.34*$I$7*($I$3/100))*($I$4/100))+ ((J29*8.34*$J$7*($J$3/100))*($J$4/100))+((K29*8.34*$K$7*($K$3/100))*($K$4/100))+ ((L29*8.34*$L$7*($L$3/100))*($L$4/100))+((M29*8.34*$M$7*($M$3/100))*($M$4/100))+ ((O29*8.34*$O$7*($O$3/100))*($O$4/100))+((P29*8.34*$P$7*($P$3/100))*($P$4/100))+
((Q29*8.34*$Q$7*($Q$3/100))*($Q$4/100))+((R29*8.34*$R$7*($R$3/100))*($R$4/100))+
((U29*8.34*$U$7*($U$3/100))*($U$4/100))+(((V29*$V$2)*8.34*$V$7*($V$3/100))*($V$4/100))+
((W29*8.34*$W$7*($W$3/100))*($W$4/100))+((X29*8.34*$X$7*($X$3/100))*($X$4/100))</f>
        <v>#REF!</v>
      </c>
      <c r="AI29" s="17" t="e">
        <f t="shared" si="4"/>
        <v>#REF!</v>
      </c>
      <c r="AJ29" s="17" t="e">
        <f t="shared" si="5"/>
        <v>#REF!</v>
      </c>
      <c r="AL29" s="102" t="e">
        <f>((((B29*8.34*$B$7*($B$3/100))*($B$4/100))/($B$5+$B$6))*$B$5)
+((((#REF!*8.34*$C$7*($C$3/100))*($C$4/100))/($C$5+$C$6))*$C$5)
+((((D29*8.34*$D$7*($D$3/100))*($D$4/100))/($D$5+$D$6))*$D$5)
+((((E29*8.34*$E$7*($E$3/100))*($E$4/100))/($E$5+$E$6))*$E$5)
+((((F29*8.34*$F$7*($F$3/100))*($F$4/100))/($F$5+$F$6))*$F$5)
+((((G29*8.34*$G$7*($G$3/100))*($G$4/100))/($G$5+$G$6))*$G$5)
+((((H29*8.34*$H$7*($H$3/100))*($H$4/100))/($H$5+$H$6))*$H$5)
+((((I29*8.34*$I$7*($I$3/100))*($I$4/100))/($I$5+$I$6))*$I$5)
+((((J29*8.34*$J$7*($J$3/100))*($J$4/100))/($J$5+$J$6))*$J$5)
+((((K29*8.34*$K$7*($K$3/100))*($K$4/100))/($K$5+$K$6))*$K$5)
+((((L29*8.34*$L$7*($L$3/100))*($L$4/100))/($L$5+$L$6))*$L$5)
+((((M29*8.34*$M$7*($M$3/100))*($M$4/100))/($M$5+$M$6))*$M$5)
+((((O29*8.34*$O$7*($O$3/100))*($O$4/100))/($O$5+$O$6))*$O$5)
+((((P29*8.34*$P$7*($P$3/100))*($P$4/100))/($P$5+$P$6))*$P$5)
+((((Q29*8.34*$Q$7*($Q$3/100))*($Q$4/100))/($Q$5+$Q$6))*$Q$5)
+((((U29*8.34*$U$7*($U$3/100))*($U$4/100))/($U$5+$U$6))*$U$5)
+(((((V29*$V$2)*8.34*$V$7*($V$3/100))*($V$4/100))/($V$5+$V$6))*$V$5)
+((((W29*8.34*$W$7*($W$3/100))*($W$4/100))/($W$5+$W$6))*$W$5)
+((((X29*8.34*$X$7*($X$3/100))*($X$4/100))/($X$5+$X$6))*$X$5)</f>
        <v>#REF!</v>
      </c>
      <c r="AM29" s="102" t="e">
        <f>((((B29*8.34*$B$7*($B$3/100))*($B$4/100))/($B$5+$B$6))*$B$6)
+((((#REF!*8.34*$C$7*($C$3/100))*($C$4/100))/($C$5+$C$6))*$C$6)
+((((D29*8.34*$D$7*($D$3/100))*($D$4/100))/($D$5+$D$6))*$D$6)
+((((E29*8.34*$E$7*($E$3/100))*($E$4/100))/($E$5+$E$6))*$E$6)
+((((F29*8.34*$F$7*($F$3/100))*($F$4/100))/($F$5+$F$6))*$F$6)
+((((G29*8.34*$G$7*($G$3/100))*($G$4/100))/($G$5+$G$6))*$G$6)
+((((H29*8.34*$H$7*($H$3/100))*($H$4/100))/($H$5+$H$6))*$H$6)
+((((I29*8.34*$I$7*($I$3/100))*($I$4/100))/($I$5+$I$6))*$I$6)
+((((J29*8.34*$J$7*($J$3/100))*($J$4/100))/($J$5+$J$6))*$J$6)
+((((K29*8.34*$K$7*($K$3/100))*($K$4/100))/($K$5+$K$6))*$K$6)
+((((L29*8.34*$L$7*($L$3/100))*($L$4/100))/($L$5+$L$6))*$L$6)
+((((M29*8.34*$M$7*($M$3/100))*($M$4/100))/($M$5+$M$6))*$M$6)
+((((O29*8.34*$O$7*($O$3/100))*($O$4/100))/($O$5+$O$6))*$O$6)
+((((P29*8.34*$P$7*($P$3/100))*($P$4/100))/($P$5+$P$6))*$P$6)
+((((Q29*8.34*$Q$7*($Q$3/100))*($Q$4/100))/($Q$5+$Q$6))*$Q$6)
+((((U29*8.34*$U$7*($U$3/100))*($U$4/100))/($U$5+$U$6))*$U$6)
+(((((V29*$V$2) *8.34*$V$7*($V$3/100))*($V$4/100))/($V$5+$V$6))*$V$6)
+((((W29*8.34*$W$7*($W$3/100))*($W$4/100))/($W$5+$W$6))*$W$6)
+((((X29*8.34*$X$7*($X$3/100))*($X$4/100))/($X$5+$X$6))*$X$6)</f>
        <v>#REF!</v>
      </c>
      <c r="AN29" s="46" t="e">
        <f t="shared" si="6"/>
        <v>#REF!</v>
      </c>
      <c r="AO29" s="68">
        <v>1</v>
      </c>
      <c r="AQ29" s="7" t="e">
        <f>(B29*($B$3/100)*($B$4/100)*$B$7*8.34*0.000453592*$B$8)+
(#REF!*($C$3/100)*($C$4/100)*$C$7*8.34*0.000453592*$C$8)+
(D29*($D$3/100)*($D$4/100)*$D$7*8.34*0.000453592*$D$8)+
(E29*($E$3/100)*($E$4/100)*$E$7*8.34*0.000453592*$E$8)+
(F29*($F$3/100)*($F$4/100)*$F$7*8.34*0.000453592*$F$8)+
(G29*($G$3/100)*($G$4/100)*$G$7*8.34*0.000453592*$G$8)+
(H29*($H$3/100)*($H$4/100)*$H$7*8.34*0.000453592*$H$8)+
(I29*($I$3/100)*($I$4/100)*$I$7*8.34*0.000453592*$I$8)+
(J29*($J$3/100)*($J$4/100)*$J$7*8.34*0.000453592*$J$8)+
(K29*($K$3/100)*($K$4/100)*$K$7*8.34*0.000453592*$K$8)+
(L29*($L$3/100)*($L$4/100)*$L$7*8.34*0.000453592*$L$8)+
(M29*($M$3/100)*($M$4/100)*$M$7*8.34*0.000453592*$M$8)+
(O29*($O$3/100)*($O$4/100)*$O$7*8.34*0.000453592*$O$8)+
(P29*($P$3/100)*($P$4/100)*$P$7*8.34*0.000453592*$P$8)+
(Q29*($Q$3/100)*($Q$4/100)*$Q$7*8.34*0.000453592*$Q$8)+
(U29*($U$3/100)*($U$4/100)*$U$7*8.34*0.000453592*$U$8)+
(V29*$V$2*($V$3/100)*($BV$4/100)*$V$7*8.34*0.000453592*$V$8)+
(W29*($W$3/100)*($W$4/100)*$W$7*8.34*0.000453592*$W$8)+
(X29*($X$3/100)*($X$4/100)*$X$7*8.34*0.000453592*$X$8)</f>
        <v>#REF!</v>
      </c>
      <c r="AR29" s="7" t="e">
        <f t="shared" si="7"/>
        <v>#REF!</v>
      </c>
      <c r="AU29" s="40"/>
    </row>
    <row r="30" spans="1:47">
      <c r="A30">
        <v>20</v>
      </c>
      <c r="B30" s="24">
        <f>4000+2200</f>
        <v>6200</v>
      </c>
      <c r="C30" s="25">
        <v>2000</v>
      </c>
      <c r="D30" s="7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25">
        <v>4000</v>
      </c>
      <c r="K30" s="59">
        <v>0</v>
      </c>
      <c r="L30" s="59">
        <v>0</v>
      </c>
      <c r="M30" s="119">
        <v>0</v>
      </c>
      <c r="N30" s="8">
        <v>20</v>
      </c>
      <c r="O30" s="24">
        <v>900</v>
      </c>
      <c r="P30" s="78">
        <v>0</v>
      </c>
      <c r="Q30" s="59">
        <v>0</v>
      </c>
      <c r="R30" s="25">
        <v>30</v>
      </c>
      <c r="S30" s="59">
        <v>0</v>
      </c>
      <c r="T30" s="59">
        <v>0</v>
      </c>
      <c r="U30" s="78">
        <v>0</v>
      </c>
      <c r="V30" s="98">
        <v>0</v>
      </c>
      <c r="W30" s="25">
        <f>300+325</f>
        <v>625</v>
      </c>
      <c r="X30" s="59">
        <v>0</v>
      </c>
      <c r="Y30" s="59">
        <v>0</v>
      </c>
      <c r="Z30" s="113"/>
      <c r="AB30" s="10">
        <f t="shared" si="0"/>
        <v>12200</v>
      </c>
      <c r="AC30" s="34">
        <f t="shared" si="8"/>
        <v>1555</v>
      </c>
      <c r="AD30" s="10">
        <f t="shared" si="1"/>
        <v>13755</v>
      </c>
      <c r="AE30" s="72">
        <f t="shared" si="2"/>
        <v>88.695019992729911</v>
      </c>
      <c r="AF30" s="72">
        <f t="shared" si="3"/>
        <v>11.304980007270084</v>
      </c>
      <c r="AH30" s="70" t="e">
        <f>((B30*8.34*$B$7*($B$3/100))*($B$4/100))+((#REF!*8.34*$C$7*($C$3/100))*($C$4/100))+ ((D30*8.34*$D$7*($D$3/100))*($D$4/100))+((E30*8.34*$E$7*($E$3/100))*($E$4/100))+ ((F30*8.34*$F$7*($F$3/100))*($F$4/100))+((G30*8.34*$G$7*($G$3/100))*($G$4/100))+ ((H30*8.34*$H$7*($H$3/100))*($H$4/100))+((I30*8.34*$I$7*($I$3/100))*($I$4/100))+ ((J30*8.34*$J$7*($J$3/100))*($J$4/100))+((K30*8.34*$K$7*($K$3/100))*($K$4/100))+ ((L30*8.34*$L$7*($L$3/100))*($L$4/100))+((M30*8.34*$M$7*($M$3/100))*($M$4/100))+ ((O30*8.34*$O$7*($O$3/100))*($O$4/100))+((P30*8.34*$P$7*($P$3/100))*($P$4/100))+
((Q30*8.34*$Q$7*($Q$3/100))*($Q$4/100))+((R30*8.34*$R$7*($R$3/100))*($R$4/100))+
((U30*8.34*$U$7*($U$3/100))*($U$4/100))+(((V30*$V$2)*8.34*$V$7*($V$3/100))*($V$4/100))+
((W30*8.34*$W$7*($W$3/100))*($W$4/100))+((X30*8.34*$X$7*($X$3/100))*($X$4/100))</f>
        <v>#REF!</v>
      </c>
      <c r="AI30" s="17" t="e">
        <f t="shared" si="4"/>
        <v>#REF!</v>
      </c>
      <c r="AJ30" s="17" t="e">
        <f t="shared" si="5"/>
        <v>#REF!</v>
      </c>
      <c r="AL30" s="102" t="e">
        <f>((((B30*8.34*$B$7*($B$3/100))*($B$4/100))/($B$5+$B$6))*$B$5)
+((((#REF!*8.34*$C$7*($C$3/100))*($C$4/100))/($C$5+$C$6))*$C$5)
+((((D30*8.34*$D$7*($D$3/100))*($D$4/100))/($D$5+$D$6))*$D$5)
+((((E30*8.34*$E$7*($E$3/100))*($E$4/100))/($E$5+$E$6))*$E$5)
+((((F30*8.34*$F$7*($F$3/100))*($F$4/100))/($F$5+$F$6))*$F$5)
+((((G30*8.34*$G$7*($G$3/100))*($G$4/100))/($G$5+$G$6))*$G$5)
+((((H30*8.34*$H$7*($H$3/100))*($H$4/100))/($H$5+$H$6))*$H$5)
+((((I30*8.34*$I$7*($I$3/100))*($I$4/100))/($I$5+$I$6))*$I$5)
+((((J30*8.34*$J$7*($J$3/100))*($J$4/100))/($J$5+$J$6))*$J$5)
+((((K30*8.34*$K$7*($K$3/100))*($K$4/100))/($K$5+$K$6))*$K$5)
+((((L30*8.34*$L$7*($L$3/100))*($L$4/100))/($L$5+$L$6))*$L$5)
+((((M30*8.34*$M$7*($M$3/100))*($M$4/100))/($M$5+$M$6))*$M$5)
+((((O30*8.34*$O$7*($O$3/100))*($O$4/100))/($O$5+$O$6))*$O$5)
+((((P30*8.34*$P$7*($P$3/100))*($P$4/100))/($P$5+$P$6))*$P$5)
+((((Q30*8.34*$Q$7*($Q$3/100))*($Q$4/100))/($Q$5+$Q$6))*$Q$5)
+((((U30*8.34*$U$7*($U$3/100))*($U$4/100))/($U$5+$U$6))*$U$5)
+(((((V30*$V$2)*8.34*$V$7*($V$3/100))*($V$4/100))/($V$5+$V$6))*$V$5)
+((((W30*8.34*$W$7*($W$3/100))*($W$4/100))/($W$5+$W$6))*$W$5)
+((((X30*8.34*$X$7*($X$3/100))*($X$4/100))/($X$5+$X$6))*$X$5)</f>
        <v>#REF!</v>
      </c>
      <c r="AM30" s="102" t="e">
        <f>((((B30*8.34*$B$7*($B$3/100))*($B$4/100))/($B$5+$B$6))*$B$6)
+((((#REF!*8.34*$C$7*($C$3/100))*($C$4/100))/($C$5+$C$6))*$C$6)
+((((D30*8.34*$D$7*($D$3/100))*($D$4/100))/($D$5+$D$6))*$D$6)
+((((E30*8.34*$E$7*($E$3/100))*($E$4/100))/($E$5+$E$6))*$E$6)
+((((F30*8.34*$F$7*($F$3/100))*($F$4/100))/($F$5+$F$6))*$F$6)
+((((G30*8.34*$G$7*($G$3/100))*($G$4/100))/($G$5+$G$6))*$G$6)
+((((H30*8.34*$H$7*($H$3/100))*($H$4/100))/($H$5+$H$6))*$H$6)
+((((I30*8.34*$I$7*($I$3/100))*($I$4/100))/($I$5+$I$6))*$I$6)
+((((J30*8.34*$J$7*($J$3/100))*($J$4/100))/($J$5+$J$6))*$J$6)
+((((K30*8.34*$K$7*($K$3/100))*($K$4/100))/($K$5+$K$6))*$K$6)
+((((L30*8.34*$L$7*($L$3/100))*($L$4/100))/($L$5+$L$6))*$L$6)
+((((M30*8.34*$M$7*($M$3/100))*($M$4/100))/($M$5+$M$6))*$M$6)
+((((O30*8.34*$O$7*($O$3/100))*($O$4/100))/($O$5+$O$6))*$O$6)
+((((P30*8.34*$P$7*($P$3/100))*($P$4/100))/($P$5+$P$6))*$P$6)
+((((Q30*8.34*$Q$7*($Q$3/100))*($Q$4/100))/($Q$5+$Q$6))*$Q$6)
+((((U30*8.34*$U$7*($U$3/100))*($U$4/100))/($U$5+$U$6))*$U$6)
+(((((V30*$V$2) *8.34*$V$7*($V$3/100))*($V$4/100))/($V$5+$V$6))*$V$6)
+((((W30*8.34*$W$7*($W$3/100))*($W$4/100))/($W$5+$W$6))*$W$6)
+((((X30*8.34*$X$7*($X$3/100))*($X$4/100))/($X$5+$X$6))*$X$6)</f>
        <v>#REF!</v>
      </c>
      <c r="AN30" s="46" t="e">
        <f t="shared" si="6"/>
        <v>#REF!</v>
      </c>
      <c r="AO30" s="68">
        <v>1</v>
      </c>
      <c r="AQ30" s="7" t="e">
        <f>(B30*($B$3/100)*($B$4/100)*$B$7*8.34*0.000453592*$B$8)+
(#REF!*($C$3/100)*($C$4/100)*$C$7*8.34*0.000453592*$C$8)+
(D30*($D$3/100)*($D$4/100)*$D$7*8.34*0.000453592*$D$8)+
(E30*($E$3/100)*($E$4/100)*$E$7*8.34*0.000453592*$E$8)+
(F30*($F$3/100)*($F$4/100)*$F$7*8.34*0.000453592*$F$8)+
(G30*($G$3/100)*($G$4/100)*$G$7*8.34*0.000453592*$G$8)+
(H30*($H$3/100)*($H$4/100)*$H$7*8.34*0.000453592*$H$8)+
(I30*($I$3/100)*($I$4/100)*$I$7*8.34*0.000453592*$I$8)+
(J30*($J$3/100)*($J$4/100)*$J$7*8.34*0.000453592*$J$8)+
(K30*($K$3/100)*($K$4/100)*$K$7*8.34*0.000453592*$K$8)+
(L30*($L$3/100)*($L$4/100)*$L$7*8.34*0.000453592*$L$8)+
(M30*($M$3/100)*($M$4/100)*$M$7*8.34*0.000453592*$M$8)+
(O30*($O$3/100)*($O$4/100)*$O$7*8.34*0.000453592*$O$8)+
(P30*($P$3/100)*($P$4/100)*$P$7*8.34*0.000453592*$P$8)+
(Q30*($Q$3/100)*($Q$4/100)*$Q$7*8.34*0.000453592*$Q$8)+
(U30*($U$3/100)*($U$4/100)*$U$7*8.34*0.000453592*$U$8)+
(V30*$V$2*($V$3/100)*($BV$4/100)*$V$7*8.34*0.000453592*$V$8)+
(W30*($W$3/100)*($W$4/100)*$W$7*8.34*0.000453592*$W$8)+
(X30*($X$3/100)*($X$4/100)*$X$7*8.34*0.000453592*$X$8)</f>
        <v>#REF!</v>
      </c>
      <c r="AR30" s="7" t="e">
        <f t="shared" si="7"/>
        <v>#REF!</v>
      </c>
    </row>
    <row r="31" spans="1:47">
      <c r="A31">
        <v>21</v>
      </c>
      <c r="B31" s="24">
        <v>4000</v>
      </c>
      <c r="C31" s="25">
        <v>2000</v>
      </c>
      <c r="D31" s="7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25">
        <v>4000</v>
      </c>
      <c r="K31" s="59">
        <v>0</v>
      </c>
      <c r="L31" s="59">
        <v>0</v>
      </c>
      <c r="M31" s="119">
        <v>0</v>
      </c>
      <c r="N31" s="8">
        <v>21</v>
      </c>
      <c r="O31" s="24">
        <v>800</v>
      </c>
      <c r="P31" s="78">
        <v>0</v>
      </c>
      <c r="Q31" s="59">
        <v>0</v>
      </c>
      <c r="R31" s="25">
        <v>30</v>
      </c>
      <c r="S31" s="59">
        <v>0</v>
      </c>
      <c r="T31" s="59">
        <v>0</v>
      </c>
      <c r="U31" s="78">
        <v>0</v>
      </c>
      <c r="V31" s="98">
        <v>8</v>
      </c>
      <c r="W31" s="78">
        <v>0</v>
      </c>
      <c r="X31" s="59">
        <v>0</v>
      </c>
      <c r="Y31" s="59">
        <v>0</v>
      </c>
      <c r="Z31" s="113"/>
      <c r="AB31" s="10">
        <f t="shared" si="0"/>
        <v>10000</v>
      </c>
      <c r="AC31" s="34">
        <f t="shared" si="8"/>
        <v>1118</v>
      </c>
      <c r="AD31" s="10">
        <f t="shared" si="1"/>
        <v>11118</v>
      </c>
      <c r="AE31" s="72">
        <f t="shared" si="2"/>
        <v>89.944234574563765</v>
      </c>
      <c r="AF31" s="72">
        <f t="shared" si="3"/>
        <v>10.055765425436229</v>
      </c>
      <c r="AH31" s="70" t="e">
        <f>((B31*8.34*$B$7*($B$3/100))*($B$4/100))+((#REF!*8.34*$C$7*($C$3/100))*($C$4/100))+ ((D31*8.34*$D$7*($D$3/100))*($D$4/100))+((E31*8.34*$E$7*($E$3/100))*($E$4/100))+ ((F31*8.34*$F$7*($F$3/100))*($F$4/100))+((G31*8.34*$G$7*($G$3/100))*($G$4/100))+ ((H31*8.34*$H$7*($H$3/100))*($H$4/100))+((I31*8.34*$I$7*($I$3/100))*($I$4/100))+ ((J31*8.34*$J$7*($J$3/100))*($J$4/100))+((K31*8.34*$K$7*($K$3/100))*($K$4/100))+ ((L31*8.34*$L$7*($L$3/100))*($L$4/100))+((M31*8.34*$M$7*($M$3/100))*($M$4/100))+ ((O31*8.34*$O$7*($O$3/100))*($O$4/100))+((P31*8.34*$P$7*($P$3/100))*($P$4/100))+
((Q31*8.34*$Q$7*($Q$3/100))*($Q$4/100))+((R31*8.34*$R$7*($R$3/100))*($R$4/100))+
((U31*8.34*$U$7*($U$3/100))*($U$4/100))+(((V31*$V$2)*8.34*$V$7*($V$3/100))*($V$4/100))+
((W31*8.34*$W$7*($W$3/100))*($W$4/100))+((X31*8.34*$X$7*($X$3/100))*($X$4/100))</f>
        <v>#REF!</v>
      </c>
      <c r="AI31" s="17" t="e">
        <f t="shared" si="4"/>
        <v>#REF!</v>
      </c>
      <c r="AJ31" s="17" t="e">
        <f t="shared" si="5"/>
        <v>#REF!</v>
      </c>
      <c r="AL31" s="102" t="e">
        <f>((((B31*8.34*$B$7*($B$3/100))*($B$4/100))/($B$5+$B$6))*$B$5)
+((((#REF!*8.34*$C$7*($C$3/100))*($C$4/100))/($C$5+$C$6))*$C$5)
+((((D31*8.34*$D$7*($D$3/100))*($D$4/100))/($D$5+$D$6))*$D$5)
+((((E31*8.34*$E$7*($E$3/100))*($E$4/100))/($E$5+$E$6))*$E$5)
+((((F31*8.34*$F$7*($F$3/100))*($F$4/100))/($F$5+$F$6))*$F$5)
+((((G31*8.34*$G$7*($G$3/100))*($G$4/100))/($G$5+$G$6))*$G$5)
+((((H31*8.34*$H$7*($H$3/100))*($H$4/100))/($H$5+$H$6))*$H$5)
+((((I31*8.34*$I$7*($I$3/100))*($I$4/100))/($I$5+$I$6))*$I$5)
+((((J31*8.34*$J$7*($J$3/100))*($J$4/100))/($J$5+$J$6))*$J$5)
+((((K31*8.34*$K$7*($K$3/100))*($K$4/100))/($K$5+$K$6))*$K$5)
+((((L31*8.34*$L$7*($L$3/100))*($L$4/100))/($L$5+$L$6))*$L$5)
+((((M31*8.34*$M$7*($M$3/100))*($M$4/100))/($M$5+$M$6))*$M$5)
+((((O31*8.34*$O$7*($O$3/100))*($O$4/100))/($O$5+$O$6))*$O$5)
+((((P31*8.34*$P$7*($P$3/100))*($P$4/100))/($P$5+$P$6))*$P$5)
+((((Q31*8.34*$Q$7*($Q$3/100))*($Q$4/100))/($Q$5+$Q$6))*$Q$5)
+((((U31*8.34*$U$7*($U$3/100))*($U$4/100))/($U$5+$U$6))*$U$5)
+(((((V31*$V$2)*8.34*$V$7*($V$3/100))*($V$4/100))/($V$5+$V$6))*$V$5)
+((((W31*8.34*$W$7*($W$3/100))*($W$4/100))/($W$5+$W$6))*$W$5)
+((((X31*8.34*$X$7*($X$3/100))*($X$4/100))/($X$5+$X$6))*$X$5)</f>
        <v>#REF!</v>
      </c>
      <c r="AM31" s="102" t="e">
        <f>((((B31*8.34*$B$7*($B$3/100))*($B$4/100))/($B$5+$B$6))*$B$6)
+((((#REF!*8.34*$C$7*($C$3/100))*($C$4/100))/($C$5+$C$6))*$C$6)
+((((D31*8.34*$D$7*($D$3/100))*($D$4/100))/($D$5+$D$6))*$D$6)
+((((E31*8.34*$E$7*($E$3/100))*($E$4/100))/($E$5+$E$6))*$E$6)
+((((F31*8.34*$F$7*($F$3/100))*($F$4/100))/($F$5+$F$6))*$F$6)
+((((G31*8.34*$G$7*($G$3/100))*($G$4/100))/($G$5+$G$6))*$G$6)
+((((H31*8.34*$H$7*($H$3/100))*($H$4/100))/($H$5+$H$6))*$H$6)
+((((I31*8.34*$I$7*($I$3/100))*($I$4/100))/($I$5+$I$6))*$I$6)
+((((J31*8.34*$J$7*($J$3/100))*($J$4/100))/($J$5+$J$6))*$J$6)
+((((K31*8.34*$K$7*($K$3/100))*($K$4/100))/($K$5+$K$6))*$K$6)
+((((L31*8.34*$L$7*($L$3/100))*($L$4/100))/($L$5+$L$6))*$L$6)
+((((M31*8.34*$M$7*($M$3/100))*($M$4/100))/($M$5+$M$6))*$M$6)
+((((O31*8.34*$O$7*($O$3/100))*($O$4/100))/($O$5+$O$6))*$O$6)
+((((P31*8.34*$P$7*($P$3/100))*($P$4/100))/($P$5+$P$6))*$P$6)
+((((Q31*8.34*$Q$7*($Q$3/100))*($Q$4/100))/($Q$5+$Q$6))*$Q$6)
+((((U31*8.34*$U$7*($U$3/100))*($U$4/100))/($U$5+$U$6))*$U$6)
+(((((V31*$V$2) *8.34*$V$7*($V$3/100))*($V$4/100))/($V$5+$V$6))*$V$6)
+((((W31*8.34*$W$7*($W$3/100))*($W$4/100))/($W$5+$W$6))*$W$6)
+((((X31*8.34*$X$7*($X$3/100))*($X$4/100))/($X$5+$X$6))*$X$6)</f>
        <v>#REF!</v>
      </c>
      <c r="AN31" s="46" t="e">
        <f t="shared" si="6"/>
        <v>#REF!</v>
      </c>
      <c r="AO31" s="68">
        <v>1</v>
      </c>
      <c r="AQ31" s="7" t="e">
        <f>(B31*($B$3/100)*($B$4/100)*$B$7*8.34*0.000453592*$B$8)+
(#REF!*($C$3/100)*($C$4/100)*$C$7*8.34*0.000453592*$C$8)+
(D31*($D$3/100)*($D$4/100)*$D$7*8.34*0.000453592*$D$8)+
(E31*($E$3/100)*($E$4/100)*$E$7*8.34*0.000453592*$E$8)+
(F31*($F$3/100)*($F$4/100)*$F$7*8.34*0.000453592*$F$8)+
(G31*($G$3/100)*($G$4/100)*$G$7*8.34*0.000453592*$G$8)+
(H31*($H$3/100)*($H$4/100)*$H$7*8.34*0.000453592*$H$8)+
(I31*($I$3/100)*($I$4/100)*$I$7*8.34*0.000453592*$I$8)+
(J31*($J$3/100)*($J$4/100)*$J$7*8.34*0.000453592*$J$8)+
(K31*($K$3/100)*($K$4/100)*$K$7*8.34*0.000453592*$K$8)+
(L31*($L$3/100)*($L$4/100)*$L$7*8.34*0.000453592*$L$8)+
(M31*($M$3/100)*($M$4/100)*$M$7*8.34*0.000453592*$M$8)+
(O31*($O$3/100)*($O$4/100)*$O$7*8.34*0.000453592*$O$8)+
(P31*($P$3/100)*($P$4/100)*$P$7*8.34*0.000453592*$P$8)+
(Q31*($Q$3/100)*($Q$4/100)*$Q$7*8.34*0.000453592*$Q$8)+
(U31*($U$3/100)*($U$4/100)*$U$7*8.34*0.000453592*$U$8)+
(V31*$V$2*($V$3/100)*($BV$4/100)*$V$7*8.34*0.000453592*$V$8)+
(W31*($W$3/100)*($W$4/100)*$W$7*8.34*0.000453592*$W$8)+
(X31*($X$3/100)*($X$4/100)*$X$7*8.34*0.000453592*$X$8)</f>
        <v>#REF!</v>
      </c>
      <c r="AR31" s="7" t="e">
        <f t="shared" si="7"/>
        <v>#REF!</v>
      </c>
    </row>
    <row r="32" spans="1:47">
      <c r="A32">
        <v>22</v>
      </c>
      <c r="B32" s="24">
        <v>3000</v>
      </c>
      <c r="C32" s="25">
        <v>2000</v>
      </c>
      <c r="D32" s="25">
        <f>2*120</f>
        <v>240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25">
        <v>4000</v>
      </c>
      <c r="K32" s="59">
        <v>0</v>
      </c>
      <c r="L32" s="59">
        <v>0</v>
      </c>
      <c r="M32" s="119">
        <v>0</v>
      </c>
      <c r="N32" s="8">
        <v>22</v>
      </c>
      <c r="O32" s="24">
        <f>800+3500</f>
        <v>4300</v>
      </c>
      <c r="P32" s="78">
        <v>0</v>
      </c>
      <c r="Q32" s="59">
        <v>0</v>
      </c>
      <c r="R32" s="78">
        <v>0</v>
      </c>
      <c r="S32" s="59">
        <v>0</v>
      </c>
      <c r="T32" s="59">
        <v>0</v>
      </c>
      <c r="U32" s="78">
        <v>0</v>
      </c>
      <c r="V32" s="98">
        <v>8</v>
      </c>
      <c r="W32" s="78">
        <v>0</v>
      </c>
      <c r="X32" s="59">
        <v>0</v>
      </c>
      <c r="Y32" s="59">
        <v>0</v>
      </c>
      <c r="Z32" s="113"/>
      <c r="AB32" s="10">
        <f t="shared" si="0"/>
        <v>9240</v>
      </c>
      <c r="AC32" s="34">
        <f t="shared" si="8"/>
        <v>4588</v>
      </c>
      <c r="AD32" s="10">
        <f t="shared" si="1"/>
        <v>13828</v>
      </c>
      <c r="AE32" s="72">
        <f t="shared" si="2"/>
        <v>66.820943014174134</v>
      </c>
      <c r="AF32" s="72">
        <f t="shared" si="3"/>
        <v>33.179056985825859</v>
      </c>
      <c r="AH32" s="70" t="e">
        <f>((B32*8.34*$B$7*($B$3/100))*($B$4/100))+((#REF!*8.34*$C$7*($C$3/100))*($C$4/100))+ ((D32*8.34*$D$7*($D$3/100))*($D$4/100))+((E32*8.34*$E$7*($E$3/100))*($E$4/100))+ ((F32*8.34*$F$7*($F$3/100))*($F$4/100))+((G32*8.34*$G$7*($G$3/100))*($G$4/100))+ ((H32*8.34*$H$7*($H$3/100))*($H$4/100))+((I32*8.34*$I$7*($I$3/100))*($I$4/100))+ ((J32*8.34*$J$7*($J$3/100))*($J$4/100))+((K32*8.34*$K$7*($K$3/100))*($K$4/100))+ ((L32*8.34*$L$7*($L$3/100))*($L$4/100))+((M32*8.34*$M$7*($M$3/100))*($M$4/100))+ ((O32*8.34*$O$7*($O$3/100))*($O$4/100))+((P32*8.34*$P$7*($P$3/100))*($P$4/100))+
((Q32*8.34*$Q$7*($Q$3/100))*($Q$4/100))+((R32*8.34*$R$7*($R$3/100))*($R$4/100))+
((U32*8.34*$U$7*($U$3/100))*($U$4/100))+(((V32*$V$2)*8.34*$V$7*($V$3/100))*($V$4/100))+
((W32*8.34*$W$7*($W$3/100))*($W$4/100))+((X32*8.34*$X$7*($X$3/100))*($X$4/100))</f>
        <v>#REF!</v>
      </c>
      <c r="AI32" s="17" t="e">
        <f t="shared" si="4"/>
        <v>#REF!</v>
      </c>
      <c r="AJ32" s="17" t="e">
        <f t="shared" si="5"/>
        <v>#REF!</v>
      </c>
      <c r="AL32" s="102" t="e">
        <f>((((B32*8.34*$B$7*($B$3/100))*($B$4/100))/($B$5+$B$6))*$B$5)
+((((#REF!*8.34*$C$7*($C$3/100))*($C$4/100))/($C$5+$C$6))*$C$5)
+((((D32*8.34*$D$7*($D$3/100))*($D$4/100))/($D$5+$D$6))*$D$5)
+((((E32*8.34*$E$7*($E$3/100))*($E$4/100))/($E$5+$E$6))*$E$5)
+((((F32*8.34*$F$7*($F$3/100))*($F$4/100))/($F$5+$F$6))*$F$5)
+((((G32*8.34*$G$7*($G$3/100))*($G$4/100))/($G$5+$G$6))*$G$5)
+((((H32*8.34*$H$7*($H$3/100))*($H$4/100))/($H$5+$H$6))*$H$5)
+((((I32*8.34*$I$7*($I$3/100))*($I$4/100))/($I$5+$I$6))*$I$5)
+((((J32*8.34*$J$7*($J$3/100))*($J$4/100))/($J$5+$J$6))*$J$5)
+((((K32*8.34*$K$7*($K$3/100))*($K$4/100))/($K$5+$K$6))*$K$5)
+((((L32*8.34*$L$7*($L$3/100))*($L$4/100))/($L$5+$L$6))*$L$5)
+((((M32*8.34*$M$7*($M$3/100))*($M$4/100))/($M$5+$M$6))*$M$5)
+((((O32*8.34*$O$7*($O$3/100))*($O$4/100))/($O$5+$O$6))*$O$5)
+((((P32*8.34*$P$7*($P$3/100))*($P$4/100))/($P$5+$P$6))*$P$5)
+((((Q32*8.34*$Q$7*($Q$3/100))*($Q$4/100))/($Q$5+$Q$6))*$Q$5)
+((((U32*8.34*$U$7*($U$3/100))*($U$4/100))/($U$5+$U$6))*$U$5)
+(((((V32*$V$2)*8.34*$V$7*($V$3/100))*($V$4/100))/($V$5+$V$6))*$V$5)
+((((W32*8.34*$W$7*($W$3/100))*($W$4/100))/($W$5+$W$6))*$W$5)
+((((X32*8.34*$X$7*($X$3/100))*($X$4/100))/($X$5+$X$6))*$X$5)</f>
        <v>#REF!</v>
      </c>
      <c r="AM32" s="102" t="e">
        <f>((((B32*8.34*$B$7*($B$3/100))*($B$4/100))/($B$5+$B$6))*$B$6)
+((((#REF!*8.34*$C$7*($C$3/100))*($C$4/100))/($C$5+$C$6))*$C$6)
+((((D32*8.34*$D$7*($D$3/100))*($D$4/100))/($D$5+$D$6))*$D$6)
+((((E32*8.34*$E$7*($E$3/100))*($E$4/100))/($E$5+$E$6))*$E$6)
+((((F32*8.34*$F$7*($F$3/100))*($F$4/100))/($F$5+$F$6))*$F$6)
+((((G32*8.34*$G$7*($G$3/100))*($G$4/100))/($G$5+$G$6))*$G$6)
+((((H32*8.34*$H$7*($H$3/100))*($H$4/100))/($H$5+$H$6))*$H$6)
+((((I32*8.34*$I$7*($I$3/100))*($I$4/100))/($I$5+$I$6))*$I$6)
+((((J32*8.34*$J$7*($J$3/100))*($J$4/100))/($J$5+$J$6))*$J$6)
+((((K32*8.34*$K$7*($K$3/100))*($K$4/100))/($K$5+$K$6))*$K$6)
+((((L32*8.34*$L$7*($L$3/100))*($L$4/100))/($L$5+$L$6))*$L$6)
+((((M32*8.34*$M$7*($M$3/100))*($M$4/100))/($M$5+$M$6))*$M$6)
+((((O32*8.34*$O$7*($O$3/100))*($O$4/100))/($O$5+$O$6))*$O$6)
+((((P32*8.34*$P$7*($P$3/100))*($P$4/100))/($P$5+$P$6))*$P$6)
+((((Q32*8.34*$Q$7*($Q$3/100))*($Q$4/100))/($Q$5+$Q$6))*$Q$6)
+((((U32*8.34*$U$7*($U$3/100))*($U$4/100))/($U$5+$U$6))*$U$6)
+(((((V32*$V$2) *8.34*$V$7*($V$3/100))*($V$4/100))/($V$5+$V$6))*$V$6)
+((((W32*8.34*$W$7*($W$3/100))*($W$4/100))/($W$5+$W$6))*$W$6)
+((((X32*8.34*$X$7*($X$3/100))*($X$4/100))/($X$5+$X$6))*$X$6)</f>
        <v>#REF!</v>
      </c>
      <c r="AN32" s="46" t="e">
        <f t="shared" si="6"/>
        <v>#REF!</v>
      </c>
      <c r="AO32" s="68">
        <v>1</v>
      </c>
      <c r="AQ32" s="7" t="e">
        <f>(B32*($B$3/100)*($B$4/100)*$B$7*8.34*0.000453592*$B$8)+
(#REF!*($C$3/100)*($C$4/100)*$C$7*8.34*0.000453592*$C$8)+
(D32*($D$3/100)*($D$4/100)*$D$7*8.34*0.000453592*$D$8)+
(E32*($E$3/100)*($E$4/100)*$E$7*8.34*0.000453592*$E$8)+
(F32*($F$3/100)*($F$4/100)*$F$7*8.34*0.000453592*$F$8)+
(G32*($G$3/100)*($G$4/100)*$G$7*8.34*0.000453592*$G$8)+
(H32*($H$3/100)*($H$4/100)*$H$7*8.34*0.000453592*$H$8)+
(I32*($I$3/100)*($I$4/100)*$I$7*8.34*0.000453592*$I$8)+
(J32*($J$3/100)*($J$4/100)*$J$7*8.34*0.000453592*$J$8)+
(K32*($K$3/100)*($K$4/100)*$K$7*8.34*0.000453592*$K$8)+
(L32*($L$3/100)*($L$4/100)*$L$7*8.34*0.000453592*$L$8)+
(M32*($M$3/100)*($M$4/100)*$M$7*8.34*0.000453592*$M$8)+
(O32*($O$3/100)*($O$4/100)*$O$7*8.34*0.000453592*$O$8)+
(P32*($P$3/100)*($P$4/100)*$P$7*8.34*0.000453592*$P$8)+
(Q32*($Q$3/100)*($Q$4/100)*$Q$7*8.34*0.000453592*$Q$8)+
(U32*($U$3/100)*($U$4/100)*$U$7*8.34*0.000453592*$U$8)+
(V32*$V$2*($V$3/100)*($BV$4/100)*$V$7*8.34*0.000453592*$V$8)+
(W32*($W$3/100)*($W$4/100)*$W$7*8.34*0.000453592*$W$8)+
(X32*($X$3/100)*($X$4/100)*$X$7*8.34*0.000453592*$X$8)</f>
        <v>#REF!</v>
      </c>
      <c r="AR32" s="7" t="e">
        <f t="shared" si="7"/>
        <v>#REF!</v>
      </c>
    </row>
    <row r="33" spans="1:45">
      <c r="A33">
        <v>23</v>
      </c>
      <c r="B33" s="24">
        <v>4000</v>
      </c>
      <c r="C33" s="25">
        <v>2000</v>
      </c>
      <c r="D33" s="78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25">
        <f>4000+1000</f>
        <v>5000</v>
      </c>
      <c r="K33" s="59">
        <v>0</v>
      </c>
      <c r="L33" s="59">
        <v>0</v>
      </c>
      <c r="M33" s="119">
        <v>0</v>
      </c>
      <c r="N33" s="8">
        <v>23</v>
      </c>
      <c r="O33" s="80">
        <v>0</v>
      </c>
      <c r="P33" s="25">
        <v>1000</v>
      </c>
      <c r="Q33" s="59">
        <v>0</v>
      </c>
      <c r="R33" s="25">
        <v>30</v>
      </c>
      <c r="S33" s="59">
        <v>0</v>
      </c>
      <c r="T33" s="59">
        <v>0</v>
      </c>
      <c r="U33" s="78">
        <v>0</v>
      </c>
      <c r="V33" s="98">
        <v>0</v>
      </c>
      <c r="W33" s="78">
        <v>0</v>
      </c>
      <c r="X33" s="59">
        <v>0</v>
      </c>
      <c r="Y33" s="59">
        <v>0</v>
      </c>
      <c r="Z33" s="113"/>
      <c r="AB33" s="10">
        <f t="shared" si="0"/>
        <v>11000</v>
      </c>
      <c r="AC33" s="34">
        <f t="shared" si="8"/>
        <v>1030</v>
      </c>
      <c r="AD33" s="10">
        <f t="shared" si="1"/>
        <v>12030</v>
      </c>
      <c r="AE33" s="72">
        <f t="shared" si="2"/>
        <v>91.4380714879468</v>
      </c>
      <c r="AF33" s="72">
        <f t="shared" si="3"/>
        <v>8.5619285120531998</v>
      </c>
      <c r="AH33" s="70" t="e">
        <f>((B33*8.34*$B$7*($B$3/100))*($B$4/100))+((#REF!*8.34*$C$7*($C$3/100))*($C$4/100))+ ((D33*8.34*$D$7*($D$3/100))*($D$4/100))+((E33*8.34*$E$7*($E$3/100))*($E$4/100))+ ((F33*8.34*$F$7*($F$3/100))*($F$4/100))+((G33*8.34*$G$7*($G$3/100))*($G$4/100))+ ((H33*8.34*$H$7*($H$3/100))*($H$4/100))+((I33*8.34*$I$7*($I$3/100))*($I$4/100))+ ((J33*8.34*$J$7*($J$3/100))*($J$4/100))+((K33*8.34*$K$7*($K$3/100))*($K$4/100))+ ((L33*8.34*$L$7*($L$3/100))*($L$4/100))+((M33*8.34*$M$7*($M$3/100))*($M$4/100))+ ((O33*8.34*$O$7*($O$3/100))*($O$4/100))+((P33*8.34*$P$7*($P$3/100))*($P$4/100))+
((Q33*8.34*$Q$7*($Q$3/100))*($Q$4/100))+((R33*8.34*$R$7*($R$3/100))*($R$4/100))+
((U33*8.34*$U$7*($U$3/100))*($U$4/100))+(((V33*$V$2)*8.34*$V$7*($V$3/100))*($V$4/100))+
((W33*8.34*$W$7*($W$3/100))*($W$4/100))+((X33*8.34*$X$7*($X$3/100))*($X$4/100))</f>
        <v>#REF!</v>
      </c>
      <c r="AI33" s="17" t="e">
        <f t="shared" si="4"/>
        <v>#REF!</v>
      </c>
      <c r="AJ33" s="17" t="e">
        <f t="shared" si="5"/>
        <v>#REF!</v>
      </c>
      <c r="AL33" s="102" t="e">
        <f>((((B33*8.34*$B$7*($B$3/100))*($B$4/100))/($B$5+$B$6))*$B$5)
+((((#REF!*8.34*$C$7*($C$3/100))*($C$4/100))/($C$5+$C$6))*$C$5)
+((((D33*8.34*$D$7*($D$3/100))*($D$4/100))/($D$5+$D$6))*$D$5)
+((((E33*8.34*$E$7*($E$3/100))*($E$4/100))/($E$5+$E$6))*$E$5)
+((((F33*8.34*$F$7*($F$3/100))*($F$4/100))/($F$5+$F$6))*$F$5)
+((((G33*8.34*$G$7*($G$3/100))*($G$4/100))/($G$5+$G$6))*$G$5)
+((((H33*8.34*$H$7*($H$3/100))*($H$4/100))/($H$5+$H$6))*$H$5)
+((((I33*8.34*$I$7*($I$3/100))*($I$4/100))/($I$5+$I$6))*$I$5)
+((((J33*8.34*$J$7*($J$3/100))*($J$4/100))/($J$5+$J$6))*$J$5)
+((((K33*8.34*$K$7*($K$3/100))*($K$4/100))/($K$5+$K$6))*$K$5)
+((((L33*8.34*$L$7*($L$3/100))*($L$4/100))/($L$5+$L$6))*$L$5)
+((((M33*8.34*$M$7*($M$3/100))*($M$4/100))/($M$5+$M$6))*$M$5)
+((((O33*8.34*$O$7*($O$3/100))*($O$4/100))/($O$5+$O$6))*$O$5)
+((((P33*8.34*$P$7*($P$3/100))*($P$4/100))/($P$5+$P$6))*$P$5)
+((((Q33*8.34*$Q$7*($Q$3/100))*($Q$4/100))/($Q$5+$Q$6))*$Q$5)
+((((U33*8.34*$U$7*($U$3/100))*($U$4/100))/($U$5+$U$6))*$U$5)
+(((((V33*$V$2)*8.34*$V$7*($V$3/100))*($V$4/100))/($V$5+$V$6))*$V$5)
+((((W33*8.34*$W$7*($W$3/100))*($W$4/100))/($W$5+$W$6))*$W$5)
+((((X33*8.34*$X$7*($X$3/100))*($X$4/100))/($X$5+$X$6))*$X$5)</f>
        <v>#REF!</v>
      </c>
      <c r="AM33" s="102" t="e">
        <f>((((B33*8.34*$B$7*($B$3/100))*($B$4/100))/($B$5+$B$6))*$B$6)
+((((#REF!*8.34*$C$7*($C$3/100))*($C$4/100))/($C$5+$C$6))*$C$6)
+((((D33*8.34*$D$7*($D$3/100))*($D$4/100))/($D$5+$D$6))*$D$6)
+((((E33*8.34*$E$7*($E$3/100))*($E$4/100))/($E$5+$E$6))*$E$6)
+((((F33*8.34*$F$7*($F$3/100))*($F$4/100))/($F$5+$F$6))*$F$6)
+((((G33*8.34*$G$7*($G$3/100))*($G$4/100))/($G$5+$G$6))*$G$6)
+((((H33*8.34*$H$7*($H$3/100))*($H$4/100))/($H$5+$H$6))*$H$6)
+((((I33*8.34*$I$7*($I$3/100))*($I$4/100))/($I$5+$I$6))*$I$6)
+((((J33*8.34*$J$7*($J$3/100))*($J$4/100))/($J$5+$J$6))*$J$6)
+((((K33*8.34*$K$7*($K$3/100))*($K$4/100))/($K$5+$K$6))*$K$6)
+((((L33*8.34*$L$7*($L$3/100))*($L$4/100))/($L$5+$L$6))*$L$6)
+((((M33*8.34*$M$7*($M$3/100))*($M$4/100))/($M$5+$M$6))*$M$6)
+((((O33*8.34*$O$7*($O$3/100))*($O$4/100))/($O$5+$O$6))*$O$6)
+((((P33*8.34*$P$7*($P$3/100))*($P$4/100))/($P$5+$P$6))*$P$6)
+((((Q33*8.34*$Q$7*($Q$3/100))*($Q$4/100))/($Q$5+$Q$6))*$Q$6)
+((((U33*8.34*$U$7*($U$3/100))*($U$4/100))/($U$5+$U$6))*$U$6)
+(((((V33*$V$2) *8.34*$V$7*($V$3/100))*($V$4/100))/($V$5+$V$6))*$V$6)
+((((W33*8.34*$W$7*($W$3/100))*($W$4/100))/($W$5+$W$6))*$W$6)
+((((X33*8.34*$X$7*($X$3/100))*($X$4/100))/($X$5+$X$6))*$X$6)</f>
        <v>#REF!</v>
      </c>
      <c r="AN33" s="46" t="e">
        <f t="shared" si="6"/>
        <v>#REF!</v>
      </c>
      <c r="AO33" s="68">
        <v>1</v>
      </c>
      <c r="AQ33" s="7" t="e">
        <f>(B33*($B$3/100)*($B$4/100)*$B$7*8.34*0.000453592*$B$8)+
(#REF!*($C$3/100)*($C$4/100)*$C$7*8.34*0.000453592*$C$8)+
(D33*($D$3/100)*($D$4/100)*$D$7*8.34*0.000453592*$D$8)+
(E33*($E$3/100)*($E$4/100)*$E$7*8.34*0.000453592*$E$8)+
(F33*($F$3/100)*($F$4/100)*$F$7*8.34*0.000453592*$F$8)+
(G33*($G$3/100)*($G$4/100)*$G$7*8.34*0.000453592*$G$8)+
(H33*($H$3/100)*($H$4/100)*$H$7*8.34*0.000453592*$H$8)+
(I33*($I$3/100)*($I$4/100)*$I$7*8.34*0.000453592*$I$8)+
(J33*($J$3/100)*($J$4/100)*$J$7*8.34*0.000453592*$J$8)+
(K33*($K$3/100)*($K$4/100)*$K$7*8.34*0.000453592*$K$8)+
(L33*($L$3/100)*($L$4/100)*$L$7*8.34*0.000453592*$L$8)+
(M33*($M$3/100)*($M$4/100)*$M$7*8.34*0.000453592*$M$8)+
(O33*($O$3/100)*($O$4/100)*$O$7*8.34*0.000453592*$O$8)+
(P33*($P$3/100)*($P$4/100)*$P$7*8.34*0.000453592*$P$8)+
(Q33*($Q$3/100)*($Q$4/100)*$Q$7*8.34*0.000453592*$Q$8)+
(U33*($U$3/100)*($U$4/100)*$U$7*8.34*0.000453592*$U$8)+
(V33*$V$2*($V$3/100)*($BV$4/100)*$V$7*8.34*0.000453592*$V$8)+
(W33*($W$3/100)*($W$4/100)*$W$7*8.34*0.000453592*$W$8)+
(X33*($X$3/100)*($X$4/100)*$X$7*8.34*0.000453592*$X$8)</f>
        <v>#REF!</v>
      </c>
      <c r="AR33" s="7" t="e">
        <f t="shared" si="7"/>
        <v>#REF!</v>
      </c>
    </row>
    <row r="34" spans="1:45">
      <c r="A34">
        <v>24</v>
      </c>
      <c r="B34" s="24">
        <v>4000</v>
      </c>
      <c r="C34" s="25">
        <v>2000</v>
      </c>
      <c r="D34" s="78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25">
        <v>4000</v>
      </c>
      <c r="K34" s="59">
        <v>0</v>
      </c>
      <c r="L34" s="59">
        <v>0</v>
      </c>
      <c r="M34" s="119">
        <v>0</v>
      </c>
      <c r="N34" s="8">
        <v>24</v>
      </c>
      <c r="O34" s="80">
        <v>0</v>
      </c>
      <c r="P34" s="25">
        <v>1000</v>
      </c>
      <c r="Q34" s="59">
        <v>0</v>
      </c>
      <c r="R34" s="25">
        <v>30</v>
      </c>
      <c r="S34" s="59">
        <v>0</v>
      </c>
      <c r="T34" s="59">
        <v>0</v>
      </c>
      <c r="U34" s="78">
        <v>0</v>
      </c>
      <c r="V34" s="98">
        <v>0</v>
      </c>
      <c r="W34" s="25">
        <f>325+325+250</f>
        <v>900</v>
      </c>
      <c r="X34" s="59">
        <v>0</v>
      </c>
      <c r="Y34" s="59">
        <v>0</v>
      </c>
      <c r="Z34" s="113"/>
      <c r="AB34" s="10">
        <f t="shared" si="0"/>
        <v>10000</v>
      </c>
      <c r="AC34" s="34">
        <f t="shared" si="8"/>
        <v>1930</v>
      </c>
      <c r="AD34" s="10">
        <f t="shared" si="1"/>
        <v>11930</v>
      </c>
      <c r="AE34" s="72">
        <f t="shared" si="2"/>
        <v>83.822296730930432</v>
      </c>
      <c r="AF34" s="72">
        <f t="shared" si="3"/>
        <v>16.177703269069571</v>
      </c>
      <c r="AH34" s="70" t="e">
        <f>((B34*8.34*$B$7*($B$3/100))*($B$4/100))+((#REF!*8.34*$C$7*($C$3/100))*($C$4/100))+ ((D34*8.34*$D$7*($D$3/100))*($D$4/100))+((E34*8.34*$E$7*($E$3/100))*($E$4/100))+ ((F34*8.34*$F$7*($F$3/100))*($F$4/100))+((G34*8.34*$G$7*($G$3/100))*($G$4/100))+ ((H34*8.34*$H$7*($H$3/100))*($H$4/100))+((I34*8.34*$I$7*($I$3/100))*($I$4/100))+ ((J34*8.34*$J$7*($J$3/100))*($J$4/100))+((K34*8.34*$K$7*($K$3/100))*($K$4/100))+ ((L34*8.34*$L$7*($L$3/100))*($L$4/100))+((M34*8.34*$M$7*($M$3/100))*($M$4/100))+ ((O34*8.34*$O$7*($O$3/100))*($O$4/100))+((P34*8.34*$P$7*($P$3/100))*($P$4/100))+
((Q34*8.34*$Q$7*($Q$3/100))*($Q$4/100))+((R34*8.34*$R$7*($R$3/100))*($R$4/100))+
((U34*8.34*$U$7*($U$3/100))*($U$4/100))+(((V34*$V$2)*8.34*$V$7*($V$3/100))*($V$4/100))+
((W34*8.34*$W$7*($W$3/100))*($W$4/100))+((X34*8.34*$X$7*($X$3/100))*($X$4/100))</f>
        <v>#REF!</v>
      </c>
      <c r="AI34" s="17" t="e">
        <f t="shared" si="4"/>
        <v>#REF!</v>
      </c>
      <c r="AJ34" s="17" t="e">
        <f t="shared" si="5"/>
        <v>#REF!</v>
      </c>
      <c r="AL34" s="102" t="e">
        <f>((((B34*8.34*$B$7*($B$3/100))*($B$4/100))/($B$5+$B$6))*$B$5)
+((((#REF!*8.34*$C$7*($C$3/100))*($C$4/100))/($C$5+$C$6))*$C$5)
+((((D34*8.34*$D$7*($D$3/100))*($D$4/100))/($D$5+$D$6))*$D$5)
+((((E34*8.34*$E$7*($E$3/100))*($E$4/100))/($E$5+$E$6))*$E$5)
+((((F34*8.34*$F$7*($F$3/100))*($F$4/100))/($F$5+$F$6))*$F$5)
+((((G34*8.34*$G$7*($G$3/100))*($G$4/100))/($G$5+$G$6))*$G$5)
+((((H34*8.34*$H$7*($H$3/100))*($H$4/100))/($H$5+$H$6))*$H$5)
+((((I34*8.34*$I$7*($I$3/100))*($I$4/100))/($I$5+$I$6))*$I$5)
+((((J34*8.34*$J$7*($J$3/100))*($J$4/100))/($J$5+$J$6))*$J$5)
+((((K34*8.34*$K$7*($K$3/100))*($K$4/100))/($K$5+$K$6))*$K$5)
+((((L34*8.34*$L$7*($L$3/100))*($L$4/100))/($L$5+$L$6))*$L$5)
+((((M34*8.34*$M$7*($M$3/100))*($M$4/100))/($M$5+$M$6))*$M$5)
+((((O34*8.34*$O$7*($O$3/100))*($O$4/100))/($O$5+$O$6))*$O$5)
+((((P34*8.34*$P$7*($P$3/100))*($P$4/100))/($P$5+$P$6))*$P$5)
+((((Q34*8.34*$Q$7*($Q$3/100))*($Q$4/100))/($Q$5+$Q$6))*$Q$5)
+((((U34*8.34*$U$7*($U$3/100))*($U$4/100))/($U$5+$U$6))*$U$5)
+(((((V34*$V$2)*8.34*$V$7*($V$3/100))*($V$4/100))/($V$5+$V$6))*$V$5)
+((((W34*8.34*$W$7*($W$3/100))*($W$4/100))/($W$5+$W$6))*$W$5)
+((((X34*8.34*$X$7*($X$3/100))*($X$4/100))/($X$5+$X$6))*$X$5)</f>
        <v>#REF!</v>
      </c>
      <c r="AM34" s="102" t="e">
        <f>((((B34*8.34*$B$7*($B$3/100))*($B$4/100))/($B$5+$B$6))*$B$6)
+((((#REF!*8.34*$C$7*($C$3/100))*($C$4/100))/($C$5+$C$6))*$C$6)
+((((D34*8.34*$D$7*($D$3/100))*($D$4/100))/($D$5+$D$6))*$D$6)
+((((E34*8.34*$E$7*($E$3/100))*($E$4/100))/($E$5+$E$6))*$E$6)
+((((F34*8.34*$F$7*($F$3/100))*($F$4/100))/($F$5+$F$6))*$F$6)
+((((G34*8.34*$G$7*($G$3/100))*($G$4/100))/($G$5+$G$6))*$G$6)
+((((H34*8.34*$H$7*($H$3/100))*($H$4/100))/($H$5+$H$6))*$H$6)
+((((I34*8.34*$I$7*($I$3/100))*($I$4/100))/($I$5+$I$6))*$I$6)
+((((J34*8.34*$J$7*($J$3/100))*($J$4/100))/($J$5+$J$6))*$J$6)
+((((K34*8.34*$K$7*($K$3/100))*($K$4/100))/($K$5+$K$6))*$K$6)
+((((L34*8.34*$L$7*($L$3/100))*($L$4/100))/($L$5+$L$6))*$L$6)
+((((M34*8.34*$M$7*($M$3/100))*($M$4/100))/($M$5+$M$6))*$M$6)
+((((O34*8.34*$O$7*($O$3/100))*($O$4/100))/($O$5+$O$6))*$O$6)
+((((P34*8.34*$P$7*($P$3/100))*($P$4/100))/($P$5+$P$6))*$P$6)
+((((Q34*8.34*$Q$7*($Q$3/100))*($Q$4/100))/($Q$5+$Q$6))*$Q$6)
+((((U34*8.34*$U$7*($U$3/100))*($U$4/100))/($U$5+$U$6))*$U$6)
+(((((V34*$V$2) *8.34*$V$7*($V$3/100))*($V$4/100))/($V$5+$V$6))*$V$6)
+((((W34*8.34*$W$7*($W$3/100))*($W$4/100))/($W$5+$W$6))*$W$6)
+((((X34*8.34*$X$7*($X$3/100))*($X$4/100))/($X$5+$X$6))*$X$6)</f>
        <v>#REF!</v>
      </c>
      <c r="AN34" s="46" t="e">
        <f t="shared" si="6"/>
        <v>#REF!</v>
      </c>
      <c r="AO34" s="68">
        <v>1</v>
      </c>
      <c r="AQ34" s="7" t="e">
        <f>(B34*($B$3/100)*($B$4/100)*$B$7*8.34*0.000453592*$B$8)+
(#REF!*($C$3/100)*($C$4/100)*$C$7*8.34*0.000453592*$C$8)+
(D34*($D$3/100)*($D$4/100)*$D$7*8.34*0.000453592*$D$8)+
(E34*($E$3/100)*($E$4/100)*$E$7*8.34*0.000453592*$E$8)+
(F34*($F$3/100)*($F$4/100)*$F$7*8.34*0.000453592*$F$8)+
(G34*($G$3/100)*($G$4/100)*$G$7*8.34*0.000453592*$G$8)+
(H34*($H$3/100)*($H$4/100)*$H$7*8.34*0.000453592*$H$8)+
(I34*($I$3/100)*($I$4/100)*$I$7*8.34*0.000453592*$I$8)+
(J34*($J$3/100)*($J$4/100)*$J$7*8.34*0.000453592*$J$8)+
(K34*($K$3/100)*($K$4/100)*$K$7*8.34*0.000453592*$K$8)+
(L34*($L$3/100)*($L$4/100)*$L$7*8.34*0.000453592*$L$8)+
(M34*($M$3/100)*($M$4/100)*$M$7*8.34*0.000453592*$M$8)+
(O34*($O$3/100)*($O$4/100)*$O$7*8.34*0.000453592*$O$8)+
(P34*($P$3/100)*($P$4/100)*$P$7*8.34*0.000453592*$P$8)+
(Q34*($Q$3/100)*($Q$4/100)*$Q$7*8.34*0.000453592*$Q$8)+
(U34*($U$3/100)*($U$4/100)*$U$7*8.34*0.000453592*$U$8)+
(V34*$V$2*($V$3/100)*($BV$4/100)*$V$7*8.34*0.000453592*$V$8)+
(W34*($W$3/100)*($W$4/100)*$W$7*8.34*0.000453592*$W$8)+
(X34*($X$3/100)*($X$4/100)*$X$7*8.34*0.000453592*$X$8)</f>
        <v>#REF!</v>
      </c>
      <c r="AR34" s="7" t="e">
        <f t="shared" si="7"/>
        <v>#REF!</v>
      </c>
    </row>
    <row r="35" spans="1:45">
      <c r="A35">
        <v>25</v>
      </c>
      <c r="B35" s="24">
        <v>4000</v>
      </c>
      <c r="C35" s="25">
        <v>2000</v>
      </c>
      <c r="D35" s="25">
        <f>10*120</f>
        <v>1200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78">
        <v>0</v>
      </c>
      <c r="K35" s="59">
        <v>0</v>
      </c>
      <c r="L35" s="59">
        <v>0</v>
      </c>
      <c r="M35" s="119">
        <v>0</v>
      </c>
      <c r="N35" s="8">
        <v>25</v>
      </c>
      <c r="O35" s="24">
        <f>800+3500</f>
        <v>4300</v>
      </c>
      <c r="P35" s="25">
        <v>1000</v>
      </c>
      <c r="Q35" s="59">
        <v>0</v>
      </c>
      <c r="R35" s="25">
        <v>30</v>
      </c>
      <c r="S35" s="59">
        <v>0</v>
      </c>
      <c r="T35" s="59">
        <v>0</v>
      </c>
      <c r="U35" s="78">
        <v>0</v>
      </c>
      <c r="V35" s="98">
        <v>7</v>
      </c>
      <c r="W35" s="78">
        <v>0</v>
      </c>
      <c r="X35" s="59">
        <v>0</v>
      </c>
      <c r="Y35" s="59">
        <v>0</v>
      </c>
      <c r="Z35" s="113"/>
      <c r="AB35" s="10">
        <f t="shared" si="0"/>
        <v>7200</v>
      </c>
      <c r="AC35" s="34">
        <f t="shared" si="8"/>
        <v>5582</v>
      </c>
      <c r="AD35" s="10">
        <f t="shared" si="1"/>
        <v>12782</v>
      </c>
      <c r="AE35" s="72">
        <f t="shared" si="2"/>
        <v>56.32921295571898</v>
      </c>
      <c r="AF35" s="72">
        <f t="shared" si="3"/>
        <v>43.67078704428102</v>
      </c>
      <c r="AH35" s="70" t="e">
        <f>((B35*8.34*$B$7*($B$3/100))*($B$4/100))+((#REF!*8.34*$C$7*($C$3/100))*($C$4/100))+ ((D35*8.34*$D$7*($D$3/100))*($D$4/100))+((E35*8.34*$E$7*($E$3/100))*($E$4/100))+ ((F35*8.34*$F$7*($F$3/100))*($F$4/100))+((G35*8.34*$G$7*($G$3/100))*($G$4/100))+ ((H35*8.34*$H$7*($H$3/100))*($H$4/100))+((I35*8.34*$I$7*($I$3/100))*($I$4/100))+ ((J35*8.34*$J$7*($J$3/100))*($J$4/100))+((K35*8.34*$K$7*($K$3/100))*($K$4/100))+ ((L35*8.34*$L$7*($L$3/100))*($L$4/100))+((M35*8.34*$M$7*($M$3/100))*($M$4/100))+ ((O35*8.34*$O$7*($O$3/100))*($O$4/100))+((P35*8.34*$P$7*($P$3/100))*($P$4/100))+
((Q35*8.34*$Q$7*($Q$3/100))*($Q$4/100))+((R35*8.34*$R$7*($R$3/100))*($R$4/100))+
((U35*8.34*$U$7*($U$3/100))*($U$4/100))+(((V35*$V$2)*8.34*$V$7*($V$3/100))*($V$4/100))+
((W35*8.34*$W$7*($W$3/100))*($W$4/100))+((X35*8.34*$X$7*($X$3/100))*($X$4/100))</f>
        <v>#REF!</v>
      </c>
      <c r="AI35" s="17" t="e">
        <f t="shared" si="4"/>
        <v>#REF!</v>
      </c>
      <c r="AJ35" s="17" t="e">
        <f t="shared" si="5"/>
        <v>#REF!</v>
      </c>
      <c r="AL35" s="102" t="e">
        <f>((((B35*8.34*$B$7*($B$3/100))*($B$4/100))/($B$5+$B$6))*$B$5)
+((((#REF!*8.34*$C$7*($C$3/100))*($C$4/100))/($C$5+$C$6))*$C$5)
+((((D35*8.34*$D$7*($D$3/100))*($D$4/100))/($D$5+$D$6))*$D$5)
+((((E35*8.34*$E$7*($E$3/100))*($E$4/100))/($E$5+$E$6))*$E$5)
+((((F35*8.34*$F$7*($F$3/100))*($F$4/100))/($F$5+$F$6))*$F$5)
+((((G35*8.34*$G$7*($G$3/100))*($G$4/100))/($G$5+$G$6))*$G$5)
+((((H35*8.34*$H$7*($H$3/100))*($H$4/100))/($H$5+$H$6))*$H$5)
+((((I35*8.34*$I$7*($I$3/100))*($I$4/100))/($I$5+$I$6))*$I$5)
+((((J35*8.34*$J$7*($J$3/100))*($J$4/100))/($J$5+$J$6))*$J$5)
+((((K35*8.34*$K$7*($K$3/100))*($K$4/100))/($K$5+$K$6))*$K$5)
+((((L35*8.34*$L$7*($L$3/100))*($L$4/100))/($L$5+$L$6))*$L$5)
+((((M35*8.34*$M$7*($M$3/100))*($M$4/100))/($M$5+$M$6))*$M$5)
+((((O35*8.34*$O$7*($O$3/100))*($O$4/100))/($O$5+$O$6))*$O$5)
+((((P35*8.34*$P$7*($P$3/100))*($P$4/100))/($P$5+$P$6))*$P$5)
+((((Q35*8.34*$Q$7*($Q$3/100))*($Q$4/100))/($Q$5+$Q$6))*$Q$5)
+((((U35*8.34*$U$7*($U$3/100))*($U$4/100))/($U$5+$U$6))*$U$5)
+(((((V35*$V$2)*8.34*$V$7*($V$3/100))*($V$4/100))/($V$5+$V$6))*$V$5)
+((((W35*8.34*$W$7*($W$3/100))*($W$4/100))/($W$5+$W$6))*$W$5)
+((((X35*8.34*$X$7*($X$3/100))*($X$4/100))/($X$5+$X$6))*$X$5)</f>
        <v>#REF!</v>
      </c>
      <c r="AM35" s="102" t="e">
        <f>((((B35*8.34*$B$7*($B$3/100))*($B$4/100))/($B$5+$B$6))*$B$6)
+((((#REF!*8.34*$C$7*($C$3/100))*($C$4/100))/($C$5+$C$6))*$C$6)
+((((D35*8.34*$D$7*($D$3/100))*($D$4/100))/($D$5+$D$6))*$D$6)
+((((E35*8.34*$E$7*($E$3/100))*($E$4/100))/($E$5+$E$6))*$E$6)
+((((F35*8.34*$F$7*($F$3/100))*($F$4/100))/($F$5+$F$6))*$F$6)
+((((G35*8.34*$G$7*($G$3/100))*($G$4/100))/($G$5+$G$6))*$G$6)
+((((H35*8.34*$H$7*($H$3/100))*($H$4/100))/($H$5+$H$6))*$H$6)
+((((I35*8.34*$I$7*($I$3/100))*($I$4/100))/($I$5+$I$6))*$I$6)
+((((J35*8.34*$J$7*($J$3/100))*($J$4/100))/($J$5+$J$6))*$J$6)
+((((K35*8.34*$K$7*($K$3/100))*($K$4/100))/($K$5+$K$6))*$K$6)
+((((L35*8.34*$L$7*($L$3/100))*($L$4/100))/($L$5+$L$6))*$L$6)
+((((M35*8.34*$M$7*($M$3/100))*($M$4/100))/($M$5+$M$6))*$M$6)
+((((O35*8.34*$O$7*($O$3/100))*($O$4/100))/($O$5+$O$6))*$O$6)
+((((P35*8.34*$P$7*($P$3/100))*($P$4/100))/($P$5+$P$6))*$P$6)
+((((Q35*8.34*$Q$7*($Q$3/100))*($Q$4/100))/($Q$5+$Q$6))*$Q$6)
+((((U35*8.34*$U$7*($U$3/100))*($U$4/100))/($U$5+$U$6))*$U$6)
+(((((V35*$V$2) *8.34*$V$7*($V$3/100))*($V$4/100))/($V$5+$V$6))*$V$6)
+((((W35*8.34*$W$7*($W$3/100))*($W$4/100))/($W$5+$W$6))*$W$6)
+((((X35*8.34*$X$7*($X$3/100))*($X$4/100))/($X$5+$X$6))*$X$6)</f>
        <v>#REF!</v>
      </c>
      <c r="AN35" s="46" t="e">
        <f t="shared" si="6"/>
        <v>#REF!</v>
      </c>
      <c r="AO35" s="68">
        <v>1</v>
      </c>
      <c r="AQ35" s="7" t="e">
        <f>(B35*($B$3/100)*($B$4/100)*$B$7*8.34*0.000453592*$B$8)+
(#REF!*($C$3/100)*($C$4/100)*$C$7*8.34*0.000453592*$C$8)+
(D35*($D$3/100)*($D$4/100)*$D$7*8.34*0.000453592*$D$8)+
(E35*($E$3/100)*($E$4/100)*$E$7*8.34*0.000453592*$E$8)+
(F35*($F$3/100)*($F$4/100)*$F$7*8.34*0.000453592*$F$8)+
(G35*($G$3/100)*($G$4/100)*$G$7*8.34*0.000453592*$G$8)+
(H35*($H$3/100)*($H$4/100)*$H$7*8.34*0.000453592*$H$8)+
(I35*($I$3/100)*($I$4/100)*$I$7*8.34*0.000453592*$I$8)+
(J35*($J$3/100)*($J$4/100)*$J$7*8.34*0.000453592*$J$8)+
(K35*($K$3/100)*($K$4/100)*$K$7*8.34*0.000453592*$K$8)+
(L35*($L$3/100)*($L$4/100)*$L$7*8.34*0.000453592*$L$8)+
(M35*($M$3/100)*($M$4/100)*$M$7*8.34*0.000453592*$M$8)+
(O35*($O$3/100)*($O$4/100)*$O$7*8.34*0.000453592*$O$8)+
(P35*($P$3/100)*($P$4/100)*$P$7*8.34*0.000453592*$P$8)+
(Q35*($Q$3/100)*($Q$4/100)*$Q$7*8.34*0.000453592*$Q$8)+
(U35*($U$3/100)*($U$4/100)*$U$7*8.34*0.000453592*$U$8)+
(V35*$V$2*($V$3/100)*($BV$4/100)*$V$7*8.34*0.000453592*$V$8)+
(W35*($W$3/100)*($W$4/100)*$W$7*8.34*0.000453592*$W$8)+
(X35*($X$3/100)*($X$4/100)*$X$7*8.34*0.000453592*$X$8)</f>
        <v>#REF!</v>
      </c>
      <c r="AR35" s="7" t="e">
        <f t="shared" si="7"/>
        <v>#REF!</v>
      </c>
    </row>
    <row r="36" spans="1:45">
      <c r="A36">
        <v>26</v>
      </c>
      <c r="B36" s="24">
        <v>4000</v>
      </c>
      <c r="C36" s="25">
        <v>2000</v>
      </c>
      <c r="D36" s="25">
        <f>10*120</f>
        <v>1200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25">
        <v>4000</v>
      </c>
      <c r="K36" s="59">
        <v>0</v>
      </c>
      <c r="L36" s="59">
        <v>0</v>
      </c>
      <c r="M36" s="119">
        <v>0</v>
      </c>
      <c r="N36" s="8">
        <v>26</v>
      </c>
      <c r="O36" s="24">
        <v>600</v>
      </c>
      <c r="P36" s="25">
        <v>1000</v>
      </c>
      <c r="Q36" s="59">
        <v>0</v>
      </c>
      <c r="R36" s="25">
        <v>30</v>
      </c>
      <c r="S36" s="59">
        <v>0</v>
      </c>
      <c r="T36" s="59">
        <v>0</v>
      </c>
      <c r="U36" s="25">
        <v>1000</v>
      </c>
      <c r="V36" s="98">
        <v>3</v>
      </c>
      <c r="W36" s="78">
        <v>0</v>
      </c>
      <c r="X36" s="59">
        <v>0</v>
      </c>
      <c r="Y36" s="59">
        <v>0</v>
      </c>
      <c r="Z36" s="113"/>
      <c r="AB36" s="10">
        <f t="shared" si="0"/>
        <v>11200</v>
      </c>
      <c r="AC36" s="34">
        <f t="shared" si="8"/>
        <v>2738</v>
      </c>
      <c r="AD36" s="10">
        <f t="shared" si="1"/>
        <v>13938</v>
      </c>
      <c r="AE36" s="72">
        <f t="shared" si="2"/>
        <v>80.35586167312384</v>
      </c>
      <c r="AF36" s="72">
        <f t="shared" si="3"/>
        <v>19.644138326876167</v>
      </c>
      <c r="AH36" s="70" t="e">
        <f>((B36*8.34*$B$7*($B$3/100))*($B$4/100))+((#REF!*8.34*$C$7*($C$3/100))*($C$4/100))+ ((D36*8.34*$D$7*($D$3/100))*($D$4/100))+((E36*8.34*$E$7*($E$3/100))*($E$4/100))+ ((F36*8.34*$F$7*($F$3/100))*($F$4/100))+((G36*8.34*$G$7*($G$3/100))*($G$4/100))+ ((H36*8.34*$H$7*($H$3/100))*($H$4/100))+((I36*8.34*$I$7*($I$3/100))*($I$4/100))+ ((J36*8.34*$J$7*($J$3/100))*($J$4/100))+((K36*8.34*$K$7*($K$3/100))*($K$4/100))+ ((L36*8.34*$L$7*($L$3/100))*($L$4/100))+((M36*8.34*$M$7*($M$3/100))*($M$4/100))+ ((O36*8.34*$O$7*($O$3/100))*($O$4/100))+((P36*8.34*$P$7*($P$3/100))*($P$4/100))+
((Q36*8.34*$Q$7*($Q$3/100))*($Q$4/100))+((R36*8.34*$R$7*($R$3/100))*($R$4/100))+
((U36*8.34*$U$7*($U$3/100))*($U$4/100))+(((V36*$V$2)*8.34*$V$7*($V$3/100))*($V$4/100))+
((W36*8.34*$W$7*($W$3/100))*($W$4/100))+((X36*8.34*$X$7*($X$3/100))*($X$4/100))</f>
        <v>#REF!</v>
      </c>
      <c r="AI36" s="17" t="e">
        <f t="shared" si="4"/>
        <v>#REF!</v>
      </c>
      <c r="AJ36" s="17" t="e">
        <f t="shared" si="5"/>
        <v>#REF!</v>
      </c>
      <c r="AL36" s="102" t="e">
        <f>((((B36*8.34*$B$7*($B$3/100))*($B$4/100))/($B$5+$B$6))*$B$5)
+((((#REF!*8.34*$C$7*($C$3/100))*($C$4/100))/($C$5+$C$6))*$C$5)
+((((D36*8.34*$D$7*($D$3/100))*($D$4/100))/($D$5+$D$6))*$D$5)
+((((E36*8.34*$E$7*($E$3/100))*($E$4/100))/($E$5+$E$6))*$E$5)
+((((F36*8.34*$F$7*($F$3/100))*($F$4/100))/($F$5+$F$6))*$F$5)
+((((G36*8.34*$G$7*($G$3/100))*($G$4/100))/($G$5+$G$6))*$G$5)
+((((H36*8.34*$H$7*($H$3/100))*($H$4/100))/($H$5+$H$6))*$H$5)
+((((I36*8.34*$I$7*($I$3/100))*($I$4/100))/($I$5+$I$6))*$I$5)
+((((J36*8.34*$J$7*($J$3/100))*($J$4/100))/($J$5+$J$6))*$J$5)
+((((K36*8.34*$K$7*($K$3/100))*($K$4/100))/($K$5+$K$6))*$K$5)
+((((L36*8.34*$L$7*($L$3/100))*($L$4/100))/($L$5+$L$6))*$L$5)
+((((M36*8.34*$M$7*($M$3/100))*($M$4/100))/($M$5+$M$6))*$M$5)
+((((O36*8.34*$O$7*($O$3/100))*($O$4/100))/($O$5+$O$6))*$O$5)
+((((P36*8.34*$P$7*($P$3/100))*($P$4/100))/($P$5+$P$6))*$P$5)
+((((Q36*8.34*$Q$7*($Q$3/100))*($Q$4/100))/($Q$5+$Q$6))*$Q$5)
+((((U36*8.34*$U$7*($U$3/100))*($U$4/100))/($U$5+$U$6))*$U$5)
+(((((V36*$V$2)*8.34*$V$7*($V$3/100))*($V$4/100))/($V$5+$V$6))*$V$5)
+((((W36*8.34*$W$7*($W$3/100))*($W$4/100))/($W$5+$W$6))*$W$5)
+((((X36*8.34*$X$7*($X$3/100))*($X$4/100))/($X$5+$X$6))*$X$5)</f>
        <v>#REF!</v>
      </c>
      <c r="AM36" s="102" t="e">
        <f>((((B36*8.34*$B$7*($B$3/100))*($B$4/100))/($B$5+$B$6))*$B$6)
+((((#REF!*8.34*$C$7*($C$3/100))*($C$4/100))/($C$5+$C$6))*$C$6)
+((((D36*8.34*$D$7*($D$3/100))*($D$4/100))/($D$5+$D$6))*$D$6)
+((((E36*8.34*$E$7*($E$3/100))*($E$4/100))/($E$5+$E$6))*$E$6)
+((((F36*8.34*$F$7*($F$3/100))*($F$4/100))/($F$5+$F$6))*$F$6)
+((((G36*8.34*$G$7*($G$3/100))*($G$4/100))/($G$5+$G$6))*$G$6)
+((((H36*8.34*$H$7*($H$3/100))*($H$4/100))/($H$5+$H$6))*$H$6)
+((((I36*8.34*$I$7*($I$3/100))*($I$4/100))/($I$5+$I$6))*$I$6)
+((((J36*8.34*$J$7*($J$3/100))*($J$4/100))/($J$5+$J$6))*$J$6)
+((((K36*8.34*$K$7*($K$3/100))*($K$4/100))/($K$5+$K$6))*$K$6)
+((((L36*8.34*$L$7*($L$3/100))*($L$4/100))/($L$5+$L$6))*$L$6)
+((((M36*8.34*$M$7*($M$3/100))*($M$4/100))/($M$5+$M$6))*$M$6)
+((((O36*8.34*$O$7*($O$3/100))*($O$4/100))/($O$5+$O$6))*$O$6)
+((((P36*8.34*$P$7*($P$3/100))*($P$4/100))/($P$5+$P$6))*$P$6)
+((((Q36*8.34*$Q$7*($Q$3/100))*($Q$4/100))/($Q$5+$Q$6))*$Q$6)
+((((U36*8.34*$U$7*($U$3/100))*($U$4/100))/($U$5+$U$6))*$U$6)
+(((((V36*$V$2) *8.34*$V$7*($V$3/100))*($V$4/100))/($V$5+$V$6))*$V$6)
+((((W36*8.34*$W$7*($W$3/100))*($W$4/100))/($W$5+$W$6))*$W$6)
+((((X36*8.34*$X$7*($X$3/100))*($X$4/100))/($X$5+$X$6))*$X$6)</f>
        <v>#REF!</v>
      </c>
      <c r="AN36" s="46" t="e">
        <f t="shared" si="6"/>
        <v>#REF!</v>
      </c>
      <c r="AO36" s="68">
        <v>1</v>
      </c>
      <c r="AQ36" s="7" t="e">
        <f>(B36*($B$3/100)*($B$4/100)*$B$7*8.34*0.000453592*$B$8)+
(#REF!*($C$3/100)*($C$4/100)*$C$7*8.34*0.000453592*$C$8)+
(D36*($D$3/100)*($D$4/100)*$D$7*8.34*0.000453592*$D$8)+
(E36*($E$3/100)*($E$4/100)*$E$7*8.34*0.000453592*$E$8)+
(F36*($F$3/100)*($F$4/100)*$F$7*8.34*0.000453592*$F$8)+
(G36*($G$3/100)*($G$4/100)*$G$7*8.34*0.000453592*$G$8)+
(H36*($H$3/100)*($H$4/100)*$H$7*8.34*0.000453592*$H$8)+
(I36*($I$3/100)*($I$4/100)*$I$7*8.34*0.000453592*$I$8)+
(J36*($J$3/100)*($J$4/100)*$J$7*8.34*0.000453592*$J$8)+
(K36*($K$3/100)*($K$4/100)*$K$7*8.34*0.000453592*$K$8)+
(L36*($L$3/100)*($L$4/100)*$L$7*8.34*0.000453592*$L$8)+
(M36*($M$3/100)*($M$4/100)*$M$7*8.34*0.000453592*$M$8)+
(O36*($O$3/100)*($O$4/100)*$O$7*8.34*0.000453592*$O$8)+
(P36*($P$3/100)*($P$4/100)*$P$7*8.34*0.000453592*$P$8)+
(Q36*($Q$3/100)*($Q$4/100)*$Q$7*8.34*0.000453592*$Q$8)+
(U36*($U$3/100)*($U$4/100)*$U$7*8.34*0.000453592*$U$8)+
(V36*$V$2*($V$3/100)*($BV$4/100)*$V$7*8.34*0.000453592*$V$8)+
(W36*($W$3/100)*($W$4/100)*$W$7*8.34*0.000453592*$W$8)+
(X36*($X$3/100)*($X$4/100)*$X$7*8.34*0.000453592*$X$8)</f>
        <v>#REF!</v>
      </c>
      <c r="AR36" s="7" t="e">
        <f t="shared" si="7"/>
        <v>#REF!</v>
      </c>
    </row>
    <row r="37" spans="1:45">
      <c r="A37">
        <v>27</v>
      </c>
      <c r="B37" s="24">
        <v>4000</v>
      </c>
      <c r="C37" s="25">
        <v>2000</v>
      </c>
      <c r="D37" s="7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25">
        <v>2500</v>
      </c>
      <c r="K37" s="59">
        <v>0</v>
      </c>
      <c r="L37" s="59">
        <v>0</v>
      </c>
      <c r="M37" s="119">
        <v>0</v>
      </c>
      <c r="N37" s="8">
        <v>27</v>
      </c>
      <c r="O37" s="24">
        <v>1175</v>
      </c>
      <c r="P37" s="25">
        <v>1000</v>
      </c>
      <c r="Q37" s="59">
        <v>0</v>
      </c>
      <c r="R37" s="25">
        <v>30</v>
      </c>
      <c r="S37" s="59">
        <v>0</v>
      </c>
      <c r="T37" s="59">
        <v>0</v>
      </c>
      <c r="U37" s="25">
        <v>1000</v>
      </c>
      <c r="V37" s="98">
        <v>0</v>
      </c>
      <c r="W37" s="25">
        <f>325+375</f>
        <v>700</v>
      </c>
      <c r="X37" s="59">
        <v>0</v>
      </c>
      <c r="Y37" s="59">
        <v>0</v>
      </c>
      <c r="Z37" s="113"/>
      <c r="AB37" s="10">
        <f t="shared" si="0"/>
        <v>8500</v>
      </c>
      <c r="AC37" s="34">
        <f t="shared" si="8"/>
        <v>3905</v>
      </c>
      <c r="AD37" s="10">
        <f t="shared" si="1"/>
        <v>12405</v>
      </c>
      <c r="AE37" s="72">
        <f t="shared" si="2"/>
        <v>68.520757758968159</v>
      </c>
      <c r="AF37" s="72">
        <f t="shared" si="3"/>
        <v>31.479242241031841</v>
      </c>
      <c r="AH37" s="70" t="e">
        <f>((B37*8.34*$B$7*($B$3/100))*($B$4/100))+((#REF!*8.34*$C$7*($C$3/100))*($C$4/100))+ ((D37*8.34*$D$7*($D$3/100))*($D$4/100))+((E37*8.34*$E$7*($E$3/100))*($E$4/100))+ ((F37*8.34*$F$7*($F$3/100))*($F$4/100))+((G37*8.34*$G$7*($G$3/100))*($G$4/100))+ ((H37*8.34*$H$7*($H$3/100))*($H$4/100))+((I37*8.34*$I$7*($I$3/100))*($I$4/100))+ ((J37*8.34*$J$7*($J$3/100))*($J$4/100))+((K37*8.34*$K$7*($K$3/100))*($K$4/100))+ ((L37*8.34*$L$7*($L$3/100))*($L$4/100))+((M37*8.34*$M$7*($M$3/100))*($M$4/100))+ ((O37*8.34*$O$7*($O$3/100))*($O$4/100))+((P37*8.34*$P$7*($P$3/100))*($P$4/100))+
((Q37*8.34*$Q$7*($Q$3/100))*($Q$4/100))+((R37*8.34*$R$7*($R$3/100))*($R$4/100))+
((U37*8.34*$U$7*($U$3/100))*($U$4/100))+(((V37*$V$2)*8.34*$V$7*($V$3/100))*($V$4/100))+
((W37*8.34*$W$7*($W$3/100))*($W$4/100))+((X37*8.34*$X$7*($X$3/100))*($X$4/100))</f>
        <v>#REF!</v>
      </c>
      <c r="AI37" s="17" t="e">
        <f t="shared" si="4"/>
        <v>#REF!</v>
      </c>
      <c r="AJ37" s="17" t="e">
        <f t="shared" si="5"/>
        <v>#REF!</v>
      </c>
      <c r="AL37" s="102" t="e">
        <f>((((B37*8.34*$B$7*($B$3/100))*($B$4/100))/($B$5+$B$6))*$B$5)
+((((#REF!*8.34*$C$7*($C$3/100))*($C$4/100))/($C$5+$C$6))*$C$5)
+((((D37*8.34*$D$7*($D$3/100))*($D$4/100))/($D$5+$D$6))*$D$5)
+((((E37*8.34*$E$7*($E$3/100))*($E$4/100))/($E$5+$E$6))*$E$5)
+((((F37*8.34*$F$7*($F$3/100))*($F$4/100))/($F$5+$F$6))*$F$5)
+((((G37*8.34*$G$7*($G$3/100))*($G$4/100))/($G$5+$G$6))*$G$5)
+((((H37*8.34*$H$7*($H$3/100))*($H$4/100))/($H$5+$H$6))*$H$5)
+((((I37*8.34*$I$7*($I$3/100))*($I$4/100))/($I$5+$I$6))*$I$5)
+((((J37*8.34*$J$7*($J$3/100))*($J$4/100))/($J$5+$J$6))*$J$5)
+((((K37*8.34*$K$7*($K$3/100))*($K$4/100))/($K$5+$K$6))*$K$5)
+((((L37*8.34*$L$7*($L$3/100))*($L$4/100))/($L$5+$L$6))*$L$5)
+((((M37*8.34*$M$7*($M$3/100))*($M$4/100))/($M$5+$M$6))*$M$5)
+((((O37*8.34*$O$7*($O$3/100))*($O$4/100))/($O$5+$O$6))*$O$5)
+((((P37*8.34*$P$7*($P$3/100))*($P$4/100))/($P$5+$P$6))*$P$5)
+((((Q37*8.34*$Q$7*($Q$3/100))*($Q$4/100))/($Q$5+$Q$6))*$Q$5)
+((((U37*8.34*$U$7*($U$3/100))*($U$4/100))/($U$5+$U$6))*$U$5)
+(((((V37*$V$2)*8.34*$V$7*($V$3/100))*($V$4/100))/($V$5+$V$6))*$V$5)
+((((W37*8.34*$W$7*($W$3/100))*($W$4/100))/($W$5+$W$6))*$W$5)
+((((X37*8.34*$X$7*($X$3/100))*($X$4/100))/($X$5+$X$6))*$X$5)</f>
        <v>#REF!</v>
      </c>
      <c r="AM37" s="102" t="e">
        <f>((((B37*8.34*$B$7*($B$3/100))*($B$4/100))/($B$5+$B$6))*$B$6)
+((((#REF!*8.34*$C$7*($C$3/100))*($C$4/100))/($C$5+$C$6))*$C$6)
+((((D37*8.34*$D$7*($D$3/100))*($D$4/100))/($D$5+$D$6))*$D$6)
+((((E37*8.34*$E$7*($E$3/100))*($E$4/100))/($E$5+$E$6))*$E$6)
+((((F37*8.34*$F$7*($F$3/100))*($F$4/100))/($F$5+$F$6))*$F$6)
+((((G37*8.34*$G$7*($G$3/100))*($G$4/100))/($G$5+$G$6))*$G$6)
+((((H37*8.34*$H$7*($H$3/100))*($H$4/100))/($H$5+$H$6))*$H$6)
+((((I37*8.34*$I$7*($I$3/100))*($I$4/100))/($I$5+$I$6))*$I$6)
+((((J37*8.34*$J$7*($J$3/100))*($J$4/100))/($J$5+$J$6))*$J$6)
+((((K37*8.34*$K$7*($K$3/100))*($K$4/100))/($K$5+$K$6))*$K$6)
+((((L37*8.34*$L$7*($L$3/100))*($L$4/100))/($L$5+$L$6))*$L$6)
+((((M37*8.34*$M$7*($M$3/100))*($M$4/100))/($M$5+$M$6))*$M$6)
+((((O37*8.34*$O$7*($O$3/100))*($O$4/100))/($O$5+$O$6))*$O$6)
+((((P37*8.34*$P$7*($P$3/100))*($P$4/100))/($P$5+$P$6))*$P$6)
+((((Q37*8.34*$Q$7*($Q$3/100))*($Q$4/100))/($Q$5+$Q$6))*$Q$6)
+((((U37*8.34*$U$7*($U$3/100))*($U$4/100))/($U$5+$U$6))*$U$6)
+(((((V37*$V$2) *8.34*$V$7*($V$3/100))*($V$4/100))/($V$5+$V$6))*$V$6)
+((((W37*8.34*$W$7*($W$3/100))*($W$4/100))/($W$5+$W$6))*$W$6)
+((((X37*8.34*$X$7*($X$3/100))*($X$4/100))/($X$5+$X$6))*$X$6)</f>
        <v>#REF!</v>
      </c>
      <c r="AN37" s="46" t="e">
        <f t="shared" si="6"/>
        <v>#REF!</v>
      </c>
      <c r="AO37" s="68">
        <v>1</v>
      </c>
      <c r="AQ37" s="7" t="e">
        <f>(B37*($B$3/100)*($B$4/100)*$B$7*8.34*0.000453592*$B$8)+
(#REF!*($C$3/100)*($C$4/100)*$C$7*8.34*0.000453592*$C$8)+
(D37*($D$3/100)*($D$4/100)*$D$7*8.34*0.000453592*$D$8)+
(E37*($E$3/100)*($E$4/100)*$E$7*8.34*0.000453592*$E$8)+
(F37*($F$3/100)*($F$4/100)*$F$7*8.34*0.000453592*$F$8)+
(G37*($G$3/100)*($G$4/100)*$G$7*8.34*0.000453592*$G$8)+
(H37*($H$3/100)*($H$4/100)*$H$7*8.34*0.000453592*$H$8)+
(I37*($I$3/100)*($I$4/100)*$I$7*8.34*0.000453592*$I$8)+
(J37*($J$3/100)*($J$4/100)*$J$7*8.34*0.000453592*$J$8)+
(K37*($K$3/100)*($K$4/100)*$K$7*8.34*0.000453592*$K$8)+
(L37*($L$3/100)*($L$4/100)*$L$7*8.34*0.000453592*$L$8)+
(M37*($M$3/100)*($M$4/100)*$M$7*8.34*0.000453592*$M$8)+
(O37*($O$3/100)*($O$4/100)*$O$7*8.34*0.000453592*$O$8)+
(P37*($P$3/100)*($P$4/100)*$P$7*8.34*0.000453592*$P$8)+
(Q37*($Q$3/100)*($Q$4/100)*$Q$7*8.34*0.000453592*$Q$8)+
(U37*($U$3/100)*($U$4/100)*$U$7*8.34*0.000453592*$U$8)+
(V37*$V$2*($V$3/100)*($BV$4/100)*$V$7*8.34*0.000453592*$V$8)+
(W37*($W$3/100)*($W$4/100)*$W$7*8.34*0.000453592*$W$8)+
(X37*($X$3/100)*($X$4/100)*$X$7*8.34*0.000453592*$X$8)</f>
        <v>#REF!</v>
      </c>
      <c r="AR37" s="7" t="e">
        <f t="shared" si="7"/>
        <v>#REF!</v>
      </c>
    </row>
    <row r="38" spans="1:45">
      <c r="A38">
        <v>28</v>
      </c>
      <c r="B38" s="24">
        <v>4000</v>
      </c>
      <c r="C38" s="25">
        <v>2000</v>
      </c>
      <c r="D38" s="7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78">
        <v>0</v>
      </c>
      <c r="K38" s="59">
        <v>0</v>
      </c>
      <c r="L38" s="59">
        <v>0</v>
      </c>
      <c r="M38" s="119">
        <v>0</v>
      </c>
      <c r="N38" s="8">
        <v>28</v>
      </c>
      <c r="O38" s="24">
        <v>900</v>
      </c>
      <c r="P38" s="25">
        <v>1000</v>
      </c>
      <c r="Q38" s="59">
        <v>0</v>
      </c>
      <c r="R38" s="25">
        <v>30</v>
      </c>
      <c r="S38" s="59">
        <v>0</v>
      </c>
      <c r="T38" s="59">
        <v>0</v>
      </c>
      <c r="U38" s="78">
        <v>0</v>
      </c>
      <c r="V38" s="98">
        <v>10</v>
      </c>
      <c r="W38" s="25">
        <f>325*3</f>
        <v>975</v>
      </c>
      <c r="X38" s="59">
        <v>0</v>
      </c>
      <c r="Y38" s="59">
        <v>0</v>
      </c>
      <c r="Z38" s="113"/>
      <c r="AB38" s="10">
        <f t="shared" si="0"/>
        <v>6000</v>
      </c>
      <c r="AC38" s="34">
        <f t="shared" si="8"/>
        <v>3265</v>
      </c>
      <c r="AD38" s="10">
        <f t="shared" si="1"/>
        <v>9265</v>
      </c>
      <c r="AE38" s="72">
        <f t="shared" si="2"/>
        <v>64.759848893685913</v>
      </c>
      <c r="AF38" s="72">
        <f t="shared" si="3"/>
        <v>35.240151106314087</v>
      </c>
      <c r="AH38" s="70" t="e">
        <f>((B38*8.34*$B$7*($B$3/100))*($B$4/100))+((#REF!*8.34*$C$7*($C$3/100))*($C$4/100))+ ((D38*8.34*$D$7*($D$3/100))*($D$4/100))+((E38*8.34*$E$7*($E$3/100))*($E$4/100))+ ((F38*8.34*$F$7*($F$3/100))*($F$4/100))+((G38*8.34*$G$7*($G$3/100))*($G$4/100))+ ((H38*8.34*$H$7*($H$3/100))*($H$4/100))+((I38*8.34*$I$7*($I$3/100))*($I$4/100))+ ((J38*8.34*$J$7*($J$3/100))*($J$4/100))+((K38*8.34*$K$7*($K$3/100))*($K$4/100))+ ((L38*8.34*$L$7*($L$3/100))*($L$4/100))+((M38*8.34*$M$7*($M$3/100))*($M$4/100))+ ((O38*8.34*$O$7*($O$3/100))*($O$4/100))+((P38*8.34*$P$7*($P$3/100))*($P$4/100))+
((Q38*8.34*$Q$7*($Q$3/100))*($Q$4/100))+((R38*8.34*$R$7*($R$3/100))*($R$4/100))+
((U38*8.34*$U$7*($U$3/100))*($U$4/100))+(((V38*$V$2)*8.34*$V$7*($V$3/100))*($V$4/100))+
((W38*8.34*$W$7*($W$3/100))*($W$4/100))+((X38*8.34*$X$7*($X$3/100))*($X$4/100))</f>
        <v>#REF!</v>
      </c>
      <c r="AI38" s="17" t="e">
        <f t="shared" si="4"/>
        <v>#REF!</v>
      </c>
      <c r="AJ38" s="17" t="e">
        <f t="shared" si="5"/>
        <v>#REF!</v>
      </c>
      <c r="AL38" s="102" t="e">
        <f>((((B38*8.34*$B$7*($B$3/100))*($B$4/100))/($B$5+$B$6))*$B$5)
+((((#REF!*8.34*$C$7*($C$3/100))*($C$4/100))/($C$5+$C$6))*$C$5)
+((((D38*8.34*$D$7*($D$3/100))*($D$4/100))/($D$5+$D$6))*$D$5)
+((((E38*8.34*$E$7*($E$3/100))*($E$4/100))/($E$5+$E$6))*$E$5)
+((((F38*8.34*$F$7*($F$3/100))*($F$4/100))/($F$5+$F$6))*$F$5)
+((((G38*8.34*$G$7*($G$3/100))*($G$4/100))/($G$5+$G$6))*$G$5)
+((((H38*8.34*$H$7*($H$3/100))*($H$4/100))/($H$5+$H$6))*$H$5)
+((((I38*8.34*$I$7*($I$3/100))*($I$4/100))/($I$5+$I$6))*$I$5)
+((((J38*8.34*$J$7*($J$3/100))*($J$4/100))/($J$5+$J$6))*$J$5)
+((((K38*8.34*$K$7*($K$3/100))*($K$4/100))/($K$5+$K$6))*$K$5)
+((((L38*8.34*$L$7*($L$3/100))*($L$4/100))/($L$5+$L$6))*$L$5)
+((((M38*8.34*$M$7*($M$3/100))*($M$4/100))/($M$5+$M$6))*$M$5)
+((((O38*8.34*$O$7*($O$3/100))*($O$4/100))/($O$5+$O$6))*$O$5)
+((((P38*8.34*$P$7*($P$3/100))*($P$4/100))/($P$5+$P$6))*$P$5)
+((((Q38*8.34*$Q$7*($Q$3/100))*($Q$4/100))/($Q$5+$Q$6))*$Q$5)
+((((U38*8.34*$U$7*($U$3/100))*($U$4/100))/($U$5+$U$6))*$U$5)
+(((((V38*$V$2)*8.34*$V$7*($V$3/100))*($V$4/100))/($V$5+$V$6))*$V$5)
+((((W38*8.34*$W$7*($W$3/100))*($W$4/100))/($W$5+$W$6))*$W$5)
+((((X38*8.34*$X$7*($X$3/100))*($X$4/100))/($X$5+$X$6))*$X$5)</f>
        <v>#REF!</v>
      </c>
      <c r="AM38" s="102" t="e">
        <f>((((B38*8.34*$B$7*($B$3/100))*($B$4/100))/($B$5+$B$6))*$B$6)
+((((#REF!*8.34*$C$7*($C$3/100))*($C$4/100))/($C$5+$C$6))*$C$6)
+((((D38*8.34*$D$7*($D$3/100))*($D$4/100))/($D$5+$D$6))*$D$6)
+((((E38*8.34*$E$7*($E$3/100))*($E$4/100))/($E$5+$E$6))*$E$6)
+((((F38*8.34*$F$7*($F$3/100))*($F$4/100))/($F$5+$F$6))*$F$6)
+((((G38*8.34*$G$7*($G$3/100))*($G$4/100))/($G$5+$G$6))*$G$6)
+((((H38*8.34*$H$7*($H$3/100))*($H$4/100))/($H$5+$H$6))*$H$6)
+((((I38*8.34*$I$7*($I$3/100))*($I$4/100))/($I$5+$I$6))*$I$6)
+((((J38*8.34*$J$7*($J$3/100))*($J$4/100))/($J$5+$J$6))*$J$6)
+((((K38*8.34*$K$7*($K$3/100))*($K$4/100))/($K$5+$K$6))*$K$6)
+((((L38*8.34*$L$7*($L$3/100))*($L$4/100))/($L$5+$L$6))*$L$6)
+((((M38*8.34*$M$7*($M$3/100))*($M$4/100))/($M$5+$M$6))*$M$6)
+((((O38*8.34*$O$7*($O$3/100))*($O$4/100))/($O$5+$O$6))*$O$6)
+((((P38*8.34*$P$7*($P$3/100))*($P$4/100))/($P$5+$P$6))*$P$6)
+((((Q38*8.34*$Q$7*($Q$3/100))*($Q$4/100))/($Q$5+$Q$6))*$Q$6)
+((((U38*8.34*$U$7*($U$3/100))*($U$4/100))/($U$5+$U$6))*$U$6)
+(((((V38*$V$2) *8.34*$V$7*($V$3/100))*($V$4/100))/($V$5+$V$6))*$V$6)
+((((W38*8.34*$W$7*($W$3/100))*($W$4/100))/($W$5+$W$6))*$W$6)
+((((X38*8.34*$X$7*($X$3/100))*($X$4/100))/($X$5+$X$6))*$X$6)</f>
        <v>#REF!</v>
      </c>
      <c r="AN38" s="46" t="e">
        <f t="shared" si="6"/>
        <v>#REF!</v>
      </c>
      <c r="AO38" s="68">
        <v>1</v>
      </c>
      <c r="AQ38" s="7" t="e">
        <f>(B38*($B$3/100)*($B$4/100)*$B$7*8.34*0.000453592*$B$8)+
(#REF!*($C$3/100)*($C$4/100)*$C$7*8.34*0.000453592*$C$8)+
(D38*($D$3/100)*($D$4/100)*$D$7*8.34*0.000453592*$D$8)+
(E38*($E$3/100)*($E$4/100)*$E$7*8.34*0.000453592*$E$8)+
(F38*($F$3/100)*($F$4/100)*$F$7*8.34*0.000453592*$F$8)+
(G38*($G$3/100)*($G$4/100)*$G$7*8.34*0.000453592*$G$8)+
(H38*($H$3/100)*($H$4/100)*$H$7*8.34*0.000453592*$H$8)+
(I38*($I$3/100)*($I$4/100)*$I$7*8.34*0.000453592*$I$8)+
(J38*($J$3/100)*($J$4/100)*$J$7*8.34*0.000453592*$J$8)+
(K38*($K$3/100)*($K$4/100)*$K$7*8.34*0.000453592*$K$8)+
(L38*($L$3/100)*($L$4/100)*$L$7*8.34*0.000453592*$L$8)+
(M38*($M$3/100)*($M$4/100)*$M$7*8.34*0.000453592*$M$8)+
(O38*($O$3/100)*($O$4/100)*$O$7*8.34*0.000453592*$O$8)+
(P38*($P$3/100)*($P$4/100)*$P$7*8.34*0.000453592*$P$8)+
(Q38*($Q$3/100)*($Q$4/100)*$Q$7*8.34*0.000453592*$Q$8)+
(U38*($U$3/100)*($U$4/100)*$U$7*8.34*0.000453592*$U$8)+
(V38*$V$2*($V$3/100)*($BV$4/100)*$V$7*8.34*0.000453592*$V$8)+
(W38*($W$3/100)*($W$4/100)*$W$7*8.34*0.000453592*$W$8)+
(X38*($X$3/100)*($X$4/100)*$X$7*8.34*0.000453592*$X$8)</f>
        <v>#REF!</v>
      </c>
      <c r="AR38" s="7" t="e">
        <f t="shared" si="7"/>
        <v>#REF!</v>
      </c>
    </row>
    <row r="39" spans="1:45">
      <c r="A39">
        <v>29</v>
      </c>
      <c r="B39" s="24">
        <v>4000</v>
      </c>
      <c r="C39" s="25">
        <v>2000</v>
      </c>
      <c r="D39" s="7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25">
        <v>1000</v>
      </c>
      <c r="K39" s="59">
        <v>0</v>
      </c>
      <c r="L39" s="59">
        <v>0</v>
      </c>
      <c r="M39" s="119">
        <v>0</v>
      </c>
      <c r="N39" s="8">
        <v>29</v>
      </c>
      <c r="O39" s="24">
        <f>850+4000</f>
        <v>4850</v>
      </c>
      <c r="P39" s="25">
        <v>1000</v>
      </c>
      <c r="Q39" s="59">
        <v>0</v>
      </c>
      <c r="R39" s="25">
        <v>30</v>
      </c>
      <c r="S39" s="59">
        <v>0</v>
      </c>
      <c r="T39" s="59">
        <v>0</v>
      </c>
      <c r="U39" s="25">
        <v>1000</v>
      </c>
      <c r="V39" s="98">
        <v>0</v>
      </c>
      <c r="W39" s="78">
        <v>0</v>
      </c>
      <c r="X39" s="59">
        <v>0</v>
      </c>
      <c r="Y39" s="59">
        <v>0</v>
      </c>
      <c r="Z39" s="113"/>
      <c r="AB39" s="10">
        <f t="shared" si="0"/>
        <v>7000</v>
      </c>
      <c r="AC39" s="34">
        <f t="shared" si="8"/>
        <v>6880</v>
      </c>
      <c r="AD39" s="10">
        <f t="shared" si="1"/>
        <v>13880</v>
      </c>
      <c r="AE39" s="72">
        <f t="shared" si="2"/>
        <v>50.43227665706052</v>
      </c>
      <c r="AF39" s="72">
        <f t="shared" si="3"/>
        <v>49.56772334293948</v>
      </c>
      <c r="AH39" s="70" t="e">
        <f>((B39*8.34*$B$7*($B$3/100))*($B$4/100))+((#REF!*8.34*$C$7*($C$3/100))*($C$4/100))+ ((D39*8.34*$D$7*($D$3/100))*($D$4/100))+((E39*8.34*$E$7*($E$3/100))*($E$4/100))+ ((F39*8.34*$F$7*($F$3/100))*($F$4/100))+((G39*8.34*$G$7*($G$3/100))*($G$4/100))+ ((H39*8.34*$H$7*($H$3/100))*($H$4/100))+((I39*8.34*$I$7*($I$3/100))*($I$4/100))+ ((J39*8.34*$J$7*($J$3/100))*($J$4/100))+((K39*8.34*$K$7*($K$3/100))*($K$4/100))+ ((L39*8.34*$L$7*($L$3/100))*($L$4/100))+((M39*8.34*$M$7*($M$3/100))*($M$4/100))+ ((O39*8.34*$O$7*($O$3/100))*($O$4/100))+((P39*8.34*$P$7*($P$3/100))*($P$4/100))+
((Q39*8.34*$Q$7*($Q$3/100))*($Q$4/100))+((R39*8.34*$R$7*($R$3/100))*($R$4/100))+
((U39*8.34*$U$7*($U$3/100))*($U$4/100))+(((V39*$V$2)*8.34*$V$7*($V$3/100))*($V$4/100))+
((W39*8.34*$W$7*($W$3/100))*($W$4/100))+((X39*8.34*$X$7*($X$3/100))*($X$4/100))</f>
        <v>#REF!</v>
      </c>
      <c r="AI39" s="17" t="e">
        <f t="shared" si="4"/>
        <v>#REF!</v>
      </c>
      <c r="AJ39" s="17" t="e">
        <f t="shared" si="5"/>
        <v>#REF!</v>
      </c>
      <c r="AL39" s="102" t="e">
        <f>((((B39*8.34*$B$7*($B$3/100))*($B$4/100))/($B$5+$B$6))*$B$5)
+((((#REF!*8.34*$C$7*($C$3/100))*($C$4/100))/($C$5+$C$6))*$C$5)
+((((D39*8.34*$D$7*($D$3/100))*($D$4/100))/($D$5+$D$6))*$D$5)
+((((E39*8.34*$E$7*($E$3/100))*($E$4/100))/($E$5+$E$6))*$E$5)
+((((F39*8.34*$F$7*($F$3/100))*($F$4/100))/($F$5+$F$6))*$F$5)
+((((G39*8.34*$G$7*($G$3/100))*($G$4/100))/($G$5+$G$6))*$G$5)
+((((H39*8.34*$H$7*($H$3/100))*($H$4/100))/($H$5+$H$6))*$H$5)
+((((I39*8.34*$I$7*($I$3/100))*($I$4/100))/($I$5+$I$6))*$I$5)
+((((J39*8.34*$J$7*($J$3/100))*($J$4/100))/($J$5+$J$6))*$J$5)
+((((K39*8.34*$K$7*($K$3/100))*($K$4/100))/($K$5+$K$6))*$K$5)
+((((L39*8.34*$L$7*($L$3/100))*($L$4/100))/($L$5+$L$6))*$L$5)
+((((M39*8.34*$M$7*($M$3/100))*($M$4/100))/($M$5+$M$6))*$M$5)
+((((O39*8.34*$O$7*($O$3/100))*($O$4/100))/($O$5+$O$6))*$O$5)
+((((P39*8.34*$P$7*($P$3/100))*($P$4/100))/($P$5+$P$6))*$P$5)
+((((Q39*8.34*$Q$7*($Q$3/100))*($Q$4/100))/($Q$5+$Q$6))*$Q$5)
+((((U39*8.34*$U$7*($U$3/100))*($U$4/100))/($U$5+$U$6))*$U$5)
+(((((V39*$V$2)*8.34*$V$7*($V$3/100))*($V$4/100))/($V$5+$V$6))*$V$5)
+((((W39*8.34*$W$7*($W$3/100))*($W$4/100))/($W$5+$W$6))*$W$5)
+((((X39*8.34*$X$7*($X$3/100))*($X$4/100))/($X$5+$X$6))*$X$5)</f>
        <v>#REF!</v>
      </c>
      <c r="AM39" s="102" t="e">
        <f>((((B39*8.34*$B$7*($B$3/100))*($B$4/100))/($B$5+$B$6))*$B$6)
+((((#REF!*8.34*$C$7*($C$3/100))*($C$4/100))/($C$5+$C$6))*$C$6)
+((((D39*8.34*$D$7*($D$3/100))*($D$4/100))/($D$5+$D$6))*$D$6)
+((((E39*8.34*$E$7*($E$3/100))*($E$4/100))/($E$5+$E$6))*$E$6)
+((((F39*8.34*$F$7*($F$3/100))*($F$4/100))/($F$5+$F$6))*$F$6)
+((((G39*8.34*$G$7*($G$3/100))*($G$4/100))/($G$5+$G$6))*$G$6)
+((((H39*8.34*$H$7*($H$3/100))*($H$4/100))/($H$5+$H$6))*$H$6)
+((((I39*8.34*$I$7*($I$3/100))*($I$4/100))/($I$5+$I$6))*$I$6)
+((((J39*8.34*$J$7*($J$3/100))*($J$4/100))/($J$5+$J$6))*$J$6)
+((((K39*8.34*$K$7*($K$3/100))*($K$4/100))/($K$5+$K$6))*$K$6)
+((((L39*8.34*$L$7*($L$3/100))*($L$4/100))/($L$5+$L$6))*$L$6)
+((((M39*8.34*$M$7*($M$3/100))*($M$4/100))/($M$5+$M$6))*$M$6)
+((((O39*8.34*$O$7*($O$3/100))*($O$4/100))/($O$5+$O$6))*$O$6)
+((((P39*8.34*$P$7*($P$3/100))*($P$4/100))/($P$5+$P$6))*$P$6)
+((((Q39*8.34*$Q$7*($Q$3/100))*($Q$4/100))/($Q$5+$Q$6))*$Q$6)
+((((U39*8.34*$U$7*($U$3/100))*($U$4/100))/($U$5+$U$6))*$U$6)
+(((((V39*$V$2) *8.34*$V$7*($V$3/100))*($V$4/100))/($V$5+$V$6))*$V$6)
+((((W39*8.34*$W$7*($W$3/100))*($W$4/100))/($W$5+$W$6))*$W$6)
+((((X39*8.34*$X$7*($X$3/100))*($X$4/100))/($X$5+$X$6))*$X$6)</f>
        <v>#REF!</v>
      </c>
      <c r="AN39" s="46" t="e">
        <f t="shared" si="6"/>
        <v>#REF!</v>
      </c>
      <c r="AO39" s="68">
        <v>1</v>
      </c>
      <c r="AQ39" s="7" t="e">
        <f>(B39*($B$3/100)*($B$4/100)*$B$7*8.34*0.000453592*$B$8)+
(#REF!*($C$3/100)*($C$4/100)*$C$7*8.34*0.000453592*$C$8)+
(D39*($D$3/100)*($D$4/100)*$D$7*8.34*0.000453592*$D$8)+
(E39*($E$3/100)*($E$4/100)*$E$7*8.34*0.000453592*$E$8)+
(F39*($F$3/100)*($F$4/100)*$F$7*8.34*0.000453592*$F$8)+
(G39*($G$3/100)*($G$4/100)*$G$7*8.34*0.000453592*$G$8)+
(H39*($H$3/100)*($H$4/100)*$H$7*8.34*0.000453592*$H$8)+
(I39*($I$3/100)*($I$4/100)*$I$7*8.34*0.000453592*$I$8)+
(J39*($J$3/100)*($J$4/100)*$J$7*8.34*0.000453592*$J$8)+
(K39*($K$3/100)*($K$4/100)*$K$7*8.34*0.000453592*$K$8)+
(L39*($L$3/100)*($L$4/100)*$L$7*8.34*0.000453592*$L$8)+
(M39*($M$3/100)*($M$4/100)*$M$7*8.34*0.000453592*$M$8)+
(O39*($O$3/100)*($O$4/100)*$O$7*8.34*0.000453592*$O$8)+
(P39*($P$3/100)*($P$4/100)*$P$7*8.34*0.000453592*$P$8)+
(Q39*($Q$3/100)*($Q$4/100)*$Q$7*8.34*0.000453592*$Q$8)+
(U39*($U$3/100)*($U$4/100)*$U$7*8.34*0.000453592*$U$8)+
(V39*$V$2*($V$3/100)*($BV$4/100)*$V$7*8.34*0.000453592*$V$8)+
(W39*($W$3/100)*($W$4/100)*$W$7*8.34*0.000453592*$W$8)+
(X39*($X$3/100)*($X$4/100)*$X$7*8.34*0.000453592*$X$8)</f>
        <v>#REF!</v>
      </c>
      <c r="AR39" s="7" t="e">
        <f t="shared" si="7"/>
        <v>#REF!</v>
      </c>
    </row>
    <row r="40" spans="1:45">
      <c r="A40">
        <v>30</v>
      </c>
      <c r="B40" s="24">
        <v>4000</v>
      </c>
      <c r="C40" s="25">
        <v>2000</v>
      </c>
      <c r="D40" s="78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25">
        <v>4000</v>
      </c>
      <c r="K40" s="59">
        <v>0</v>
      </c>
      <c r="L40" s="59">
        <v>0</v>
      </c>
      <c r="M40" s="119">
        <v>0</v>
      </c>
      <c r="N40" s="8">
        <v>30</v>
      </c>
      <c r="O40" s="80">
        <v>0</v>
      </c>
      <c r="P40" s="25">
        <v>1000</v>
      </c>
      <c r="Q40" s="59">
        <v>0</v>
      </c>
      <c r="R40" s="25">
        <v>30</v>
      </c>
      <c r="S40" s="59">
        <v>0</v>
      </c>
      <c r="T40" s="59">
        <v>0</v>
      </c>
      <c r="U40" s="25">
        <v>1000</v>
      </c>
      <c r="V40" s="98">
        <v>0</v>
      </c>
      <c r="W40" s="78">
        <v>0</v>
      </c>
      <c r="X40" s="59">
        <v>0</v>
      </c>
      <c r="Y40" s="59">
        <v>0</v>
      </c>
      <c r="Z40" s="113"/>
      <c r="AB40" s="10">
        <f t="shared" si="0"/>
        <v>10000</v>
      </c>
      <c r="AC40" s="34">
        <f t="shared" si="8"/>
        <v>2030</v>
      </c>
      <c r="AD40" s="10">
        <f t="shared" si="1"/>
        <v>12030</v>
      </c>
      <c r="AE40" s="72">
        <f t="shared" si="2"/>
        <v>83.125519534497087</v>
      </c>
      <c r="AF40" s="72">
        <f t="shared" si="3"/>
        <v>16.874480465502909</v>
      </c>
      <c r="AH40" s="70" t="e">
        <f>((B40*8.34*$B$7*($B$3/100))*($B$4/100))+((#REF!*8.34*$C$7*($C$3/100))*($C$4/100))+ ((D40*8.34*$D$7*($D$3/100))*($D$4/100))+((E40*8.34*$E$7*($E$3/100))*($E$4/100))+ ((F40*8.34*$F$7*($F$3/100))*($F$4/100))+((G40*8.34*$G$7*($G$3/100))*($G$4/100))+ ((H40*8.34*$H$7*($H$3/100))*($H$4/100))+((I40*8.34*$I$7*($I$3/100))*($I$4/100))+ ((J40*8.34*$J$7*($J$3/100))*($J$4/100))+((K40*8.34*$K$7*($K$3/100))*($K$4/100))+ ((L40*8.34*$L$7*($L$3/100))*($L$4/100))+((M40*8.34*$M$7*($M$3/100))*($M$4/100))+ ((O40*8.34*$O$7*($O$3/100))*($O$4/100))+((P40*8.34*$P$7*($P$3/100))*($P$4/100))+
((Q40*8.34*$Q$7*($Q$3/100))*($Q$4/100))+((R40*8.34*$R$7*($R$3/100))*($R$4/100))+
((U40*8.34*$U$7*($U$3/100))*($U$4/100))+(((V40*$V$2)*8.34*$V$7*($V$3/100))*($V$4/100))+
((W40*8.34*$W$7*($W$3/100))*($W$4/100))+((X40*8.34*$X$7*($X$3/100))*($X$4/100))</f>
        <v>#REF!</v>
      </c>
      <c r="AI40" s="17" t="e">
        <f t="shared" si="4"/>
        <v>#REF!</v>
      </c>
      <c r="AJ40" s="17" t="e">
        <f t="shared" si="5"/>
        <v>#REF!</v>
      </c>
      <c r="AL40" s="102" t="e">
        <f>((((B40*8.34*$B$7*($B$3/100))*($B$4/100))/($B$5+$B$6))*$B$5)
+((((#REF!*8.34*$C$7*($C$3/100))*($C$4/100))/($C$5+$C$6))*$C$5)
+((((D40*8.34*$D$7*($D$3/100))*($D$4/100))/($D$5+$D$6))*$D$5)
+((((E40*8.34*$E$7*($E$3/100))*($E$4/100))/($E$5+$E$6))*$E$5)
+((((F40*8.34*$F$7*($F$3/100))*($F$4/100))/($F$5+$F$6))*$F$5)
+((((G40*8.34*$G$7*($G$3/100))*($G$4/100))/($G$5+$G$6))*$G$5)
+((((H40*8.34*$H$7*($H$3/100))*($H$4/100))/($H$5+$H$6))*$H$5)
+((((I40*8.34*$I$7*($I$3/100))*($I$4/100))/($I$5+$I$6))*$I$5)
+((((J40*8.34*$J$7*($J$3/100))*($J$4/100))/($J$5+$J$6))*$J$5)
+((((K40*8.34*$K$7*($K$3/100))*($K$4/100))/($K$5+$K$6))*$K$5)
+((((L40*8.34*$L$7*($L$3/100))*($L$4/100))/($L$5+$L$6))*$L$5)
+((((M40*8.34*$M$7*($M$3/100))*($M$4/100))/($M$5+$M$6))*$M$5)
+((((O40*8.34*$O$7*($O$3/100))*($O$4/100))/($O$5+$O$6))*$O$5)
+((((P40*8.34*$P$7*($P$3/100))*($P$4/100))/($P$5+$P$6))*$P$5)
+((((Q40*8.34*$Q$7*($Q$3/100))*($Q$4/100))/($Q$5+$Q$6))*$Q$5)
+((((U40*8.34*$U$7*($U$3/100))*($U$4/100))/($U$5+$U$6))*$U$5)
+(((((V40*$V$2)*8.34*$V$7*($V$3/100))*($V$4/100))/($V$5+$V$6))*$V$5)
+((((W40*8.34*$W$7*($W$3/100))*($W$4/100))/($W$5+$W$6))*$W$5)
+((((X40*8.34*$X$7*($X$3/100))*($X$4/100))/($X$5+$X$6))*$X$5)</f>
        <v>#REF!</v>
      </c>
      <c r="AM40" s="102" t="e">
        <f>((((B40*8.34*$B$7*($B$3/100))*($B$4/100))/($B$5+$B$6))*$B$6)
+((((#REF!*8.34*$C$7*($C$3/100))*($C$4/100))/($C$5+$C$6))*$C$6)
+((((D40*8.34*$D$7*($D$3/100))*($D$4/100))/($D$5+$D$6))*$D$6)
+((((E40*8.34*$E$7*($E$3/100))*($E$4/100))/($E$5+$E$6))*$E$6)
+((((F40*8.34*$F$7*($F$3/100))*($F$4/100))/($F$5+$F$6))*$F$6)
+((((G40*8.34*$G$7*($G$3/100))*($G$4/100))/($G$5+$G$6))*$G$6)
+((((H40*8.34*$H$7*($H$3/100))*($H$4/100))/($H$5+$H$6))*$H$6)
+((((I40*8.34*$I$7*($I$3/100))*($I$4/100))/($I$5+$I$6))*$I$6)
+((((J40*8.34*$J$7*($J$3/100))*($J$4/100))/($J$5+$J$6))*$J$6)
+((((K40*8.34*$K$7*($K$3/100))*($K$4/100))/($K$5+$K$6))*$K$6)
+((((L40*8.34*$L$7*($L$3/100))*($L$4/100))/($L$5+$L$6))*$L$6)
+((((M40*8.34*$M$7*($M$3/100))*($M$4/100))/($M$5+$M$6))*$M$6)
+((((O40*8.34*$O$7*($O$3/100))*($O$4/100))/($O$5+$O$6))*$O$6)
+((((P40*8.34*$P$7*($P$3/100))*($P$4/100))/($P$5+$P$6))*$P$6)
+((((Q40*8.34*$Q$7*($Q$3/100))*($Q$4/100))/($Q$5+$Q$6))*$Q$6)
+((((U40*8.34*$U$7*($U$3/100))*($U$4/100))/($U$5+$U$6))*$U$6)
+(((((V40*$V$2) *8.34*$V$7*($V$3/100))*($V$4/100))/($V$5+$V$6))*$V$6)
+((((W40*8.34*$W$7*($W$3/100))*($W$4/100))/($W$5+$W$6))*$W$6)
+((((X40*8.34*$X$7*($X$3/100))*($X$4/100))/($X$5+$X$6))*$X$6)</f>
        <v>#REF!</v>
      </c>
      <c r="AN40" s="46" t="e">
        <f t="shared" si="6"/>
        <v>#REF!</v>
      </c>
      <c r="AO40" s="68">
        <v>1</v>
      </c>
      <c r="AQ40" s="7" t="e">
        <f>(B40*($B$3/100)*($B$4/100)*$B$7*8.34*0.000453592*$B$8)+
(#REF!*($C$3/100)*($C$4/100)*$C$7*8.34*0.000453592*$C$8)+
(D40*($D$3/100)*($D$4/100)*$D$7*8.34*0.000453592*$D$8)+
(E40*($E$3/100)*($E$4/100)*$E$7*8.34*0.000453592*$E$8)+
(F40*($F$3/100)*($F$4/100)*$F$7*8.34*0.000453592*$F$8)+
(G40*($G$3/100)*($G$4/100)*$G$7*8.34*0.000453592*$G$8)+
(H40*($H$3/100)*($H$4/100)*$H$7*8.34*0.000453592*$H$8)+
(I40*($I$3/100)*($I$4/100)*$I$7*8.34*0.000453592*$I$8)+
(J40*($J$3/100)*($J$4/100)*$J$7*8.34*0.000453592*$J$8)+
(K40*($K$3/100)*($K$4/100)*$K$7*8.34*0.000453592*$K$8)+
(L40*($L$3/100)*($L$4/100)*$L$7*8.34*0.000453592*$L$8)+
(M40*($M$3/100)*($M$4/100)*$M$7*8.34*0.000453592*$M$8)+
(O40*($O$3/100)*($O$4/100)*$O$7*8.34*0.000453592*$O$8)+
(P40*($P$3/100)*($P$4/100)*$P$7*8.34*0.000453592*$P$8)+
(Q40*($Q$3/100)*($Q$4/100)*$Q$7*8.34*0.000453592*$Q$8)+
(U40*($U$3/100)*($U$4/100)*$U$7*8.34*0.000453592*$U$8)+
(V40*$V$2*($V$3/100)*($BV$4/100)*$V$7*8.34*0.000453592*$V$8)+
(W40*($W$3/100)*($W$4/100)*$W$7*8.34*0.000453592*$W$8)+
(X40*($X$3/100)*($X$4/100)*$X$7*8.34*0.000453592*$X$8)</f>
        <v>#REF!</v>
      </c>
      <c r="AR40" s="7" t="e">
        <f t="shared" si="7"/>
        <v>#REF!</v>
      </c>
    </row>
    <row r="41" spans="1:45" s="35" customFormat="1">
      <c r="A41" s="35">
        <v>31</v>
      </c>
      <c r="B41" s="120">
        <v>4000</v>
      </c>
      <c r="C41" s="121">
        <v>2500</v>
      </c>
      <c r="D41" s="122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121">
        <f>4000+2000</f>
        <v>6000</v>
      </c>
      <c r="K41" s="58">
        <v>0</v>
      </c>
      <c r="L41" s="58">
        <v>0</v>
      </c>
      <c r="M41" s="123">
        <v>0</v>
      </c>
      <c r="N41" s="98">
        <v>31</v>
      </c>
      <c r="O41" s="124">
        <v>0</v>
      </c>
      <c r="P41" s="121">
        <v>1000</v>
      </c>
      <c r="Q41" s="58">
        <v>0</v>
      </c>
      <c r="R41" s="121">
        <v>35</v>
      </c>
      <c r="S41" s="58">
        <v>0</v>
      </c>
      <c r="T41" s="58">
        <v>0</v>
      </c>
      <c r="U41" s="121">
        <v>1000</v>
      </c>
      <c r="V41" s="115">
        <v>0</v>
      </c>
      <c r="W41" s="122">
        <v>0</v>
      </c>
      <c r="X41" s="58">
        <v>0</v>
      </c>
      <c r="Y41" s="58">
        <v>0</v>
      </c>
      <c r="Z41" s="116"/>
      <c r="AB41" s="34">
        <f t="shared" si="0"/>
        <v>12500</v>
      </c>
      <c r="AC41" s="34">
        <f t="shared" si="8"/>
        <v>2035</v>
      </c>
      <c r="AD41" s="34">
        <f t="shared" si="1"/>
        <v>14535</v>
      </c>
      <c r="AE41" s="73">
        <f t="shared" si="2"/>
        <v>85.999312005503953</v>
      </c>
      <c r="AF41" s="73">
        <f t="shared" si="3"/>
        <v>14.000687994496044</v>
      </c>
      <c r="AH41" s="71" t="e">
        <f>((B41*8.34*$B$7*($B$3/100))*($B$4/100))+((#REF!*8.34*$C$7*($C$3/100))*($C$4/100))+ ((D41*8.34*$D$7*($D$3/100))*($D$4/100))+((E41*8.34*$E$7*($E$3/100))*($E$4/100))+ ((F41*8.34*$F$7*($F$3/100))*($F$4/100))+((G41*8.34*$G$7*($G$3/100))*($G$4/100))+ ((H41*8.34*$H$7*($H$3/100))*($H$4/100))+((I41*8.34*$I$7*($I$3/100))*($I$4/100))+ ((J41*8.34*$J$7*($J$3/100))*($J$4/100))+((K41*8.34*$K$7*($K$3/100))*($K$4/100))+ ((L41*8.34*$L$7*($L$3/100))*($L$4/100))+((M41*8.34*$M$7*($M$3/100))*($M$4/100))+ ((O41*8.34*$O$7*($O$3/100))*($O$4/100))+((P41*8.34*$P$7*($P$3/100))*($P$4/100))+
((Q41*8.34*$Q$7*($Q$3/100))*($Q$4/100))+((R41*8.34*$R$7*($R$3/100))*($R$4/100))+
((U41*8.34*$U$7*($U$3/100))*($U$4/100))+(((V41*$V$2)*8.34*$V$7*($V$3/100))*($V$4/100))+
((W41*8.34*$W$7*($W$3/100))*($W$4/100))+((X41*8.34*$X$7*($X$3/100))*($X$4/100))</f>
        <v>#REF!</v>
      </c>
      <c r="AI41" s="54" t="e">
        <f t="shared" si="4"/>
        <v>#REF!</v>
      </c>
      <c r="AJ41" s="54" t="e">
        <f t="shared" si="5"/>
        <v>#REF!</v>
      </c>
      <c r="AL41" s="103" t="e">
        <f>((((B41*8.34*$B$7*($B$3/100))*($B$4/100))/($B$5+$B$6))*$B$5)
+((((#REF!*8.34*$C$7*($C$3/100))*($C$4/100))/($C$5+$C$6))*$C$5)
+((((D41*8.34*$D$7*($D$3/100))*($D$4/100))/($D$5+$D$6))*$D$5)
+((((E41*8.34*$E$7*($E$3/100))*($E$4/100))/($E$5+$E$6))*$E$5)
+((((F41*8.34*$F$7*($F$3/100))*($F$4/100))/($F$5+$F$6))*$F$5)
+((((G41*8.34*$G$7*($G$3/100))*($G$4/100))/($G$5+$G$6))*$G$5)
+((((H41*8.34*$H$7*($H$3/100))*($H$4/100))/($H$5+$H$6))*$H$5)
+((((I41*8.34*$I$7*($I$3/100))*($I$4/100))/($I$5+$I$6))*$I$5)
+((((J41*8.34*$J$7*($J$3/100))*($J$4/100))/($J$5+$J$6))*$J$5)
+((((K41*8.34*$K$7*($K$3/100))*($K$4/100))/($K$5+$K$6))*$K$5)
+((((L41*8.34*$L$7*($L$3/100))*($L$4/100))/($L$5+$L$6))*$L$5)
+((((M41*8.34*$M$7*($M$3/100))*($M$4/100))/($M$5+$M$6))*$M$5)
+((((O41*8.34*$O$7*($O$3/100))*($O$4/100))/($O$5+$O$6))*$O$5)
+((((P41*8.34*$P$7*($P$3/100))*($P$4/100))/($P$5+$P$6))*$P$5)
+((((Q41*8.34*$Q$7*($Q$3/100))*($Q$4/100))/($Q$5+$Q$6))*$Q$5)
+((((U41*8.34*$U$7*($U$3/100))*($U$4/100))/($U$5+$U$6))*$U$5)
+(((((V41*$V$2)*8.34*$V$7*($V$3/100))*($V$4/100))/($V$5+$V$6))*$V$5)
+((((W41*8.34*$W$7*($W$3/100))*($W$4/100))/($W$5+$W$6))*$W$5)
+((((X41*8.34*$X$7*($X$3/100))*($X$4/100))/($X$5+$X$6))*$X$5)</f>
        <v>#REF!</v>
      </c>
      <c r="AM41" s="103" t="e">
        <f>((((B41*8.34*$B$7*($B$3/100))*($B$4/100))/($B$5+$B$6))*$B$6)
+((((#REF!*8.34*$C$7*($C$3/100))*($C$4/100))/($C$5+$C$6))*$C$6)
+((((D41*8.34*$D$7*($D$3/100))*($D$4/100))/($D$5+$D$6))*$D$6)
+((((E41*8.34*$E$7*($E$3/100))*($E$4/100))/($E$5+$E$6))*$E$6)
+((((F41*8.34*$F$7*($F$3/100))*($F$4/100))/($F$5+$F$6))*$F$6)
+((((G41*8.34*$G$7*($G$3/100))*($G$4/100))/($G$5+$G$6))*$G$6)
+((((H41*8.34*$H$7*($H$3/100))*($H$4/100))/($H$5+$H$6))*$H$6)
+((((I41*8.34*$I$7*($I$3/100))*($I$4/100))/($I$5+$I$6))*$I$6)
+((((J41*8.34*$J$7*($J$3/100))*($J$4/100))/($J$5+$J$6))*$J$6)
+((((K41*8.34*$K$7*($K$3/100))*($K$4/100))/($K$5+$K$6))*$K$6)
+((((L41*8.34*$L$7*($L$3/100))*($L$4/100))/($L$5+$L$6))*$L$6)
+((((M41*8.34*$M$7*($M$3/100))*($M$4/100))/($M$5+$M$6))*$M$6)
+((((O41*8.34*$O$7*($O$3/100))*($O$4/100))/($O$5+$O$6))*$O$6)
+((((P41*8.34*$P$7*($P$3/100))*($P$4/100))/($P$5+$P$6))*$P$6)
+((((Q41*8.34*$Q$7*($Q$3/100))*($Q$4/100))/($Q$5+$Q$6))*$Q$6)
+((((U41*8.34*$U$7*($U$3/100))*($U$4/100))/($U$5+$U$6))*$U$6)
+(((((V41*$V$2) *8.34*$V$7*($V$3/100))*($V$4/100))/($V$5+$V$6))*$V$6)
+((((W41*8.34*$W$7*($W$3/100))*($W$4/100))/($W$5+$W$6))*$W$6)
+((((X41*8.34*$X$7*($X$3/100))*($X$4/100))/($X$5+$X$6))*$X$6)</f>
        <v>#REF!</v>
      </c>
      <c r="AN41" s="46" t="e">
        <f t="shared" si="6"/>
        <v>#REF!</v>
      </c>
      <c r="AO41" s="69">
        <v>1</v>
      </c>
      <c r="AQ41" s="36" t="e">
        <f>(B41*($B$3/100)*($B$4/100)*$B$7*8.34*0.000453592*$B$8)+
(#REF!*($C$3/100)*($C$4/100)*$C$7*8.34*0.000453592*$C$8)+
(D41*($D$3/100)*($D$4/100)*$D$7*8.34*0.000453592*$D$8)+
(E41*($E$3/100)*($E$4/100)*$E$7*8.34*0.000453592*$E$8)+
(F41*($F$3/100)*($F$4/100)*$F$7*8.34*0.000453592*$F$8)+
(G41*($G$3/100)*($G$4/100)*$G$7*8.34*0.000453592*$G$8)+
(H41*($H$3/100)*($H$4/100)*$H$7*8.34*0.000453592*$H$8)+
(I41*($I$3/100)*($I$4/100)*$I$7*8.34*0.000453592*$I$8)+
(J41*($J$3/100)*($J$4/100)*$J$7*8.34*0.000453592*$J$8)+
(K41*($K$3/100)*($K$4/100)*$K$7*8.34*0.000453592*$K$8)+
(L41*($L$3/100)*($L$4/100)*$L$7*8.34*0.000453592*$L$8)+
(M41*($M$3/100)*($M$4/100)*$M$7*8.34*0.000453592*$M$8)+
(O41*($O$3/100)*($O$4/100)*$O$7*8.34*0.000453592*$O$8)+
(P41*($P$3/100)*($P$4/100)*$P$7*8.34*0.000453592*$P$8)+
(Q41*($Q$3/100)*($Q$4/100)*$Q$7*8.34*0.000453592*$Q$8)+
(U41*($U$3/100)*($U$4/100)*$U$7*8.34*0.000453592*$U$8)+
(V41*$V$2*($V$3/100)*($BV$4/100)*$V$7*8.34*0.000453592*$V$8)+
(W41*($W$3/100)*($W$4/100)*$W$7*8.34*0.000453592*$W$8)+
(X41*($X$3/100)*($X$4/100)*$X$7*8.34*0.000453592*$X$8)</f>
        <v>#REF!</v>
      </c>
      <c r="AR41" s="36" t="e">
        <f t="shared" si="7"/>
        <v>#REF!</v>
      </c>
    </row>
    <row r="42" spans="1:45">
      <c r="A42" s="35"/>
      <c r="B42" s="30"/>
      <c r="C42" s="30"/>
      <c r="D42" s="76"/>
      <c r="E42" s="52"/>
      <c r="F42" s="52"/>
      <c r="G42" s="59"/>
      <c r="H42" s="59"/>
      <c r="I42" s="59"/>
      <c r="J42" s="76"/>
      <c r="K42" s="59"/>
      <c r="L42" s="59"/>
      <c r="M42" s="59"/>
      <c r="N42" s="98"/>
      <c r="O42" s="30"/>
      <c r="P42" s="30"/>
      <c r="Q42" s="59"/>
      <c r="R42" s="30"/>
      <c r="S42" s="59"/>
      <c r="T42" s="76"/>
      <c r="U42" s="30"/>
      <c r="V42" s="30"/>
      <c r="W42" s="76"/>
      <c r="X42" s="76"/>
      <c r="Y42" s="76"/>
      <c r="Z42" s="30"/>
      <c r="AH42" s="15"/>
      <c r="AI42" s="17"/>
      <c r="AJ42" s="17"/>
      <c r="AL42" s="104"/>
      <c r="AM42" s="104"/>
      <c r="AN42" s="46"/>
    </row>
    <row r="43" spans="1:45">
      <c r="A43" s="35"/>
      <c r="B43" s="30"/>
      <c r="C43" s="30"/>
      <c r="D43" s="76"/>
      <c r="E43" s="52"/>
      <c r="F43" s="52"/>
      <c r="G43" s="59"/>
      <c r="H43" s="59"/>
      <c r="I43" s="59"/>
      <c r="J43" s="76"/>
      <c r="K43" s="59"/>
      <c r="L43" s="59"/>
      <c r="M43" s="59"/>
      <c r="N43" s="98"/>
      <c r="O43" s="30"/>
      <c r="P43" s="30"/>
      <c r="Q43" s="59"/>
      <c r="R43" s="30"/>
      <c r="S43" s="59"/>
      <c r="T43" s="76"/>
      <c r="U43" s="30"/>
      <c r="V43" s="30"/>
      <c r="W43" s="76"/>
      <c r="X43" s="76"/>
      <c r="Y43" s="76"/>
      <c r="Z43" s="30"/>
      <c r="AA43" s="60" t="s">
        <v>21</v>
      </c>
      <c r="AB43" s="10">
        <f>SUM(AB11:AB41)</f>
        <v>300300</v>
      </c>
      <c r="AC43" s="10">
        <f t="shared" ref="AC43:AD43" si="9">SUM(AC11:AC41)</f>
        <v>83176</v>
      </c>
      <c r="AD43" s="10">
        <f t="shared" si="9"/>
        <v>383476</v>
      </c>
      <c r="AH43" s="15"/>
      <c r="AI43" s="17"/>
      <c r="AJ43" s="17"/>
      <c r="AK43" s="4" t="s">
        <v>70</v>
      </c>
      <c r="AL43" s="102" t="e">
        <f>AVERAGE(AL11:AL41)</f>
        <v>#REF!</v>
      </c>
      <c r="AM43" s="102" t="e">
        <f>AVERAGE(AM11:AM41)</f>
        <v>#REF!</v>
      </c>
      <c r="AN43" s="46" t="e">
        <f>AVERAGE(AN11:AN41)</f>
        <v>#REF!</v>
      </c>
    </row>
    <row r="44" spans="1:45">
      <c r="B44" s="7"/>
      <c r="C44" s="7"/>
    </row>
    <row r="45" spans="1:45">
      <c r="A45" s="16" t="s">
        <v>21</v>
      </c>
      <c r="B45" s="64">
        <f>SUM(B11:B41)</f>
        <v>125200</v>
      </c>
      <c r="C45" s="64">
        <f>SUM(C11:C41)</f>
        <v>62500</v>
      </c>
      <c r="D45" s="64">
        <f t="shared" ref="D45:M45" si="10">SUM(D11:D41)</f>
        <v>14100</v>
      </c>
      <c r="E45" s="64">
        <f t="shared" si="10"/>
        <v>0</v>
      </c>
      <c r="F45" s="64">
        <f t="shared" si="10"/>
        <v>0</v>
      </c>
      <c r="G45" s="64">
        <f t="shared" si="10"/>
        <v>0</v>
      </c>
      <c r="H45" s="64">
        <f t="shared" si="10"/>
        <v>0</v>
      </c>
      <c r="I45" s="64">
        <f t="shared" si="10"/>
        <v>0</v>
      </c>
      <c r="J45" s="64">
        <f t="shared" si="10"/>
        <v>98500</v>
      </c>
      <c r="K45" s="64">
        <f t="shared" si="10"/>
        <v>0</v>
      </c>
      <c r="L45" s="64">
        <f t="shared" si="10"/>
        <v>0</v>
      </c>
      <c r="M45" s="64">
        <f t="shared" si="10"/>
        <v>0</v>
      </c>
      <c r="N45" s="60"/>
      <c r="O45" s="60">
        <f t="shared" ref="O45:Y45" si="11">SUM(O11:O41)</f>
        <v>46425</v>
      </c>
      <c r="P45" s="60">
        <f t="shared" si="11"/>
        <v>13350</v>
      </c>
      <c r="Q45" s="60">
        <f t="shared" si="11"/>
        <v>0</v>
      </c>
      <c r="R45" s="60">
        <f t="shared" si="11"/>
        <v>955</v>
      </c>
      <c r="S45" s="60">
        <f t="shared" si="11"/>
        <v>0</v>
      </c>
      <c r="T45" s="60">
        <f t="shared" si="11"/>
        <v>0</v>
      </c>
      <c r="U45" s="60">
        <f t="shared" si="11"/>
        <v>12750</v>
      </c>
      <c r="V45" s="60">
        <f t="shared" si="11"/>
        <v>36</v>
      </c>
      <c r="W45" s="60">
        <f t="shared" si="11"/>
        <v>8400</v>
      </c>
      <c r="X45" s="60">
        <f t="shared" si="11"/>
        <v>0</v>
      </c>
      <c r="Y45" s="60">
        <f t="shared" si="11"/>
        <v>0</v>
      </c>
      <c r="Z45" s="60"/>
      <c r="AA45" s="4" t="s">
        <v>19</v>
      </c>
      <c r="AB45" s="60">
        <f>AVERAGE(AB11:AB41)</f>
        <v>9687.0967741935492</v>
      </c>
      <c r="AC45" s="61">
        <f>AVERAGE(AC11:AC41)</f>
        <v>2683.0967741935483</v>
      </c>
      <c r="AD45" s="60">
        <f>AVERAGE(AD11:AD41)</f>
        <v>12370.193548387097</v>
      </c>
      <c r="AE45" s="60">
        <f>AVERAGE(AE11:AE41)</f>
        <v>78.932573335773114</v>
      </c>
      <c r="AF45" s="60">
        <f>AVERAGE(AF11:AF41)</f>
        <v>21.067426664226872</v>
      </c>
      <c r="AG45" s="60"/>
      <c r="AH45" s="60" t="e">
        <f t="shared" ref="AH45:AN45" si="12">AVERAGE(AH11:AH41)</f>
        <v>#REF!</v>
      </c>
      <c r="AI45" s="62" t="e">
        <f t="shared" si="12"/>
        <v>#REF!</v>
      </c>
      <c r="AJ45" s="62" t="e">
        <f t="shared" si="12"/>
        <v>#REF!</v>
      </c>
      <c r="AK45" s="62"/>
      <c r="AL45" s="62"/>
      <c r="AM45" s="62"/>
      <c r="AN45" s="62" t="e">
        <f t="shared" si="12"/>
        <v>#REF!</v>
      </c>
      <c r="AO45" s="6"/>
      <c r="AP45" s="4" t="s">
        <v>19</v>
      </c>
      <c r="AQ45" s="63" t="e">
        <f t="shared" ref="AQ45:AR45" si="13">AVERAGE(AQ11:AQ41)</f>
        <v>#REF!</v>
      </c>
      <c r="AR45" s="63" t="e">
        <f t="shared" si="13"/>
        <v>#REF!</v>
      </c>
      <c r="AS45" s="131">
        <v>5081</v>
      </c>
    </row>
    <row r="46" spans="1:45">
      <c r="A46" t="s">
        <v>19</v>
      </c>
      <c r="B46" s="64">
        <f>(SUM(B11:B41)/31)</f>
        <v>4038.7096774193546</v>
      </c>
      <c r="C46" s="64">
        <f>AVERAGE(C11:C41)</f>
        <v>2016.1290322580646</v>
      </c>
      <c r="D46" s="64">
        <f t="shared" ref="D46:M46" si="14">(SUM(D11:D41)/31)</f>
        <v>454.83870967741933</v>
      </c>
      <c r="E46" s="64">
        <f t="shared" si="14"/>
        <v>0</v>
      </c>
      <c r="F46" s="64">
        <f t="shared" si="14"/>
        <v>0</v>
      </c>
      <c r="G46" s="64">
        <f t="shared" si="14"/>
        <v>0</v>
      </c>
      <c r="H46" s="64">
        <f t="shared" si="14"/>
        <v>0</v>
      </c>
      <c r="I46" s="64">
        <f t="shared" si="14"/>
        <v>0</v>
      </c>
      <c r="J46" s="64">
        <f t="shared" si="14"/>
        <v>3177.4193548387098</v>
      </c>
      <c r="K46" s="64">
        <f t="shared" si="14"/>
        <v>0</v>
      </c>
      <c r="L46" s="64">
        <f t="shared" si="14"/>
        <v>0</v>
      </c>
      <c r="M46" s="64">
        <f t="shared" si="14"/>
        <v>0</v>
      </c>
      <c r="N46" s="4"/>
      <c r="O46" s="64">
        <f t="shared" ref="O46:Y46" si="15">(SUM(O11:O41)/31)</f>
        <v>1497.5806451612902</v>
      </c>
      <c r="P46" s="64">
        <f t="shared" si="15"/>
        <v>430.64516129032256</v>
      </c>
      <c r="Q46" s="64">
        <f t="shared" si="15"/>
        <v>0</v>
      </c>
      <c r="R46" s="64">
        <f t="shared" si="15"/>
        <v>30.806451612903224</v>
      </c>
      <c r="S46" s="64">
        <f t="shared" si="15"/>
        <v>0</v>
      </c>
      <c r="T46" s="64">
        <f t="shared" si="15"/>
        <v>0</v>
      </c>
      <c r="U46" s="64">
        <f t="shared" si="15"/>
        <v>411.29032258064518</v>
      </c>
      <c r="V46" s="64">
        <f t="shared" si="15"/>
        <v>1.1612903225806452</v>
      </c>
      <c r="W46" s="64">
        <f t="shared" si="15"/>
        <v>270.96774193548384</v>
      </c>
      <c r="X46" s="64">
        <f t="shared" si="15"/>
        <v>0</v>
      </c>
      <c r="Y46" s="64">
        <f t="shared" si="15"/>
        <v>0</v>
      </c>
      <c r="Z46" s="74"/>
      <c r="AA46" s="4" t="s">
        <v>20</v>
      </c>
      <c r="AB46" s="64">
        <f>STDEV(AB11:AB41)</f>
        <v>1921.2186992434188</v>
      </c>
      <c r="AC46" s="65">
        <f>STDEV(AC11:AC41)</f>
        <v>1921.8843072158586</v>
      </c>
      <c r="AD46" s="64">
        <f>STDEV(AD11:AD41)</f>
        <v>1805.8196185177692</v>
      </c>
      <c r="AE46" s="64">
        <f>STDEV(AE11:AE41)</f>
        <v>14.166371307530634</v>
      </c>
      <c r="AF46" s="64">
        <f>STDEV(AF11:AF41)</f>
        <v>14.166371307530497</v>
      </c>
      <c r="AG46" s="64"/>
      <c r="AH46" s="64" t="e">
        <f t="shared" ref="AH46:AN46" si="16">STDEV(AH11:AH41)</f>
        <v>#REF!</v>
      </c>
      <c r="AI46" s="66" t="e">
        <f t="shared" si="16"/>
        <v>#REF!</v>
      </c>
      <c r="AJ46" s="66" t="e">
        <f t="shared" si="16"/>
        <v>#REF!</v>
      </c>
      <c r="AK46" s="66"/>
      <c r="AL46" s="66"/>
      <c r="AM46" s="66"/>
      <c r="AN46" s="66" t="e">
        <f t="shared" si="16"/>
        <v>#REF!</v>
      </c>
      <c r="AO46" s="6"/>
      <c r="AP46" s="4" t="s">
        <v>20</v>
      </c>
      <c r="AQ46" s="64" t="e">
        <f>STDEV(AQ11:AQ41)</f>
        <v>#REF!</v>
      </c>
      <c r="AR46" s="64" t="e">
        <f>STDEV(AR11:AR41)</f>
        <v>#REF!</v>
      </c>
      <c r="AS46" s="131">
        <v>2083</v>
      </c>
    </row>
    <row r="47" spans="1:45">
      <c r="B47" s="7"/>
      <c r="C47" s="7"/>
    </row>
  </sheetData>
  <mergeCells count="5">
    <mergeCell ref="AQ7:AR7"/>
    <mergeCell ref="AL8:AO8"/>
    <mergeCell ref="B9:M9"/>
    <mergeCell ref="O9:R9"/>
    <mergeCell ref="Y9:Z9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5"/>
  <sheetViews>
    <sheetView topLeftCell="AD8" workbookViewId="0">
      <selection activeCell="AT44" sqref="AT44"/>
    </sheetView>
  </sheetViews>
  <sheetFormatPr baseColWidth="10" defaultColWidth="8.83203125" defaultRowHeight="15" x14ac:dyDescent="0"/>
  <cols>
    <col min="1" max="1" width="21.1640625" customWidth="1"/>
    <col min="2" max="2" width="9.5" customWidth="1"/>
    <col min="3" max="3" width="8.33203125" customWidth="1"/>
    <col min="4" max="4" width="7.83203125" customWidth="1"/>
    <col min="5" max="5" width="8" customWidth="1"/>
    <col min="6" max="6" width="7.5" customWidth="1"/>
    <col min="7" max="7" width="9.1640625" customWidth="1"/>
    <col min="8" max="8" width="8.5" customWidth="1"/>
    <col min="9" max="9" width="7.5" customWidth="1"/>
    <col min="11" max="11" width="7.5" customWidth="1"/>
    <col min="13" max="14" width="7.83203125" customWidth="1"/>
    <col min="15" max="15" width="8.5" customWidth="1"/>
    <col min="16" max="16" width="8.33203125" customWidth="1"/>
    <col min="17" max="17" width="7.1640625" customWidth="1"/>
    <col min="18" max="18" width="6.33203125" customWidth="1"/>
    <col min="19" max="19" width="8" customWidth="1"/>
    <col min="20" max="20" width="6.5" customWidth="1"/>
    <col min="21" max="21" width="8" customWidth="1"/>
    <col min="22" max="22" width="7.1640625" style="35" customWidth="1"/>
    <col min="23" max="23" width="7.5" customWidth="1"/>
    <col min="24" max="24" width="8.6640625" style="35" customWidth="1"/>
    <col min="25" max="26" width="13.33203125" style="35" customWidth="1"/>
    <col min="27" max="27" width="8" customWidth="1"/>
    <col min="28" max="28" width="11.6640625" customWidth="1"/>
    <col min="29" max="29" width="11.6640625" style="35" customWidth="1"/>
    <col min="30" max="30" width="11.6640625" customWidth="1"/>
    <col min="33" max="33" width="4" customWidth="1"/>
    <col min="34" max="34" width="11.6640625" bestFit="1" customWidth="1"/>
    <col min="35" max="36" width="11.33203125" customWidth="1"/>
    <col min="37" max="37" width="4.6640625" customWidth="1"/>
    <col min="38" max="39" width="8.33203125" style="101" customWidth="1"/>
    <col min="41" max="41" width="3.83203125" style="68" customWidth="1"/>
    <col min="42" max="42" width="5.1640625" customWidth="1"/>
    <col min="43" max="43" width="11.1640625" customWidth="1"/>
    <col min="44" max="44" width="11.33203125" customWidth="1"/>
  </cols>
  <sheetData>
    <row r="1" spans="1:47" ht="18">
      <c r="A1" s="1" t="s">
        <v>77</v>
      </c>
      <c r="B1" s="11"/>
      <c r="C1" s="11"/>
      <c r="D1" s="47" t="s">
        <v>60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6" t="s">
        <v>45</v>
      </c>
      <c r="W1" s="1"/>
      <c r="X1" s="37"/>
      <c r="Y1" s="37"/>
      <c r="Z1" s="37"/>
      <c r="AA1" s="1"/>
      <c r="AB1" s="2"/>
      <c r="AC1" s="32"/>
      <c r="AD1" s="2"/>
      <c r="AE1" s="2"/>
      <c r="AF1" s="2"/>
      <c r="AG1" s="1"/>
      <c r="AH1" s="1"/>
      <c r="AI1" s="1"/>
      <c r="AJ1" s="1"/>
      <c r="AK1" s="1"/>
      <c r="AL1" s="19"/>
      <c r="AM1" s="19"/>
      <c r="AN1" s="1"/>
      <c r="AO1" s="67"/>
    </row>
    <row r="2" spans="1:47" ht="19" thickBot="1">
      <c r="A2" s="29"/>
      <c r="B2" s="1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2">
        <v>36</v>
      </c>
      <c r="W2" s="1"/>
      <c r="X2" s="37"/>
      <c r="Y2" s="37"/>
      <c r="Z2" s="37"/>
      <c r="AA2" s="1"/>
      <c r="AB2" s="2"/>
      <c r="AC2" s="32"/>
      <c r="AD2" s="2"/>
      <c r="AE2" s="2"/>
      <c r="AF2" s="2"/>
      <c r="AG2" s="1"/>
      <c r="AH2" s="1"/>
      <c r="AI2" s="1"/>
      <c r="AJ2" s="1"/>
      <c r="AK2" s="1"/>
      <c r="AL2" s="19"/>
      <c r="AM2" s="19"/>
      <c r="AN2" s="1"/>
      <c r="AO2" s="67"/>
      <c r="AR2" s="35" t="s">
        <v>73</v>
      </c>
    </row>
    <row r="3" spans="1:47" ht="18">
      <c r="A3" s="29" t="s">
        <v>23</v>
      </c>
      <c r="B3" s="12">
        <v>8.5</v>
      </c>
      <c r="C3" s="12">
        <v>8.5</v>
      </c>
      <c r="D3" s="13">
        <v>21.5</v>
      </c>
      <c r="E3" s="13">
        <v>33</v>
      </c>
      <c r="F3" s="13">
        <v>25</v>
      </c>
      <c r="G3" s="13">
        <v>88</v>
      </c>
      <c r="H3" s="13">
        <v>37</v>
      </c>
      <c r="I3" s="13">
        <v>92</v>
      </c>
      <c r="J3" s="13">
        <v>3.4</v>
      </c>
      <c r="K3" s="13">
        <v>98</v>
      </c>
      <c r="L3" s="13">
        <v>42</v>
      </c>
      <c r="M3" s="13">
        <v>35</v>
      </c>
      <c r="N3" s="29" t="s">
        <v>23</v>
      </c>
      <c r="O3" s="13">
        <v>5</v>
      </c>
      <c r="P3" s="13">
        <v>45</v>
      </c>
      <c r="Q3" s="38">
        <v>2.5</v>
      </c>
      <c r="R3" s="13"/>
      <c r="S3" s="13"/>
      <c r="T3" s="13"/>
      <c r="U3" s="13">
        <v>7</v>
      </c>
      <c r="V3" s="38">
        <v>25</v>
      </c>
      <c r="W3" s="13">
        <v>8</v>
      </c>
      <c r="X3" s="38">
        <v>95</v>
      </c>
      <c r="Y3" s="38"/>
      <c r="Z3" s="38"/>
      <c r="AA3" s="1"/>
      <c r="AB3" s="2"/>
      <c r="AC3" s="32"/>
      <c r="AD3" s="2"/>
      <c r="AE3" s="2"/>
      <c r="AF3" s="2"/>
      <c r="AG3" s="1"/>
      <c r="AI3" s="6" t="s">
        <v>34</v>
      </c>
      <c r="AJ3" s="6" t="s">
        <v>35</v>
      </c>
      <c r="AK3" s="1"/>
      <c r="AL3" s="19"/>
      <c r="AM3" s="19"/>
      <c r="AN3" s="1"/>
      <c r="AO3" s="67"/>
      <c r="AQ3" t="s">
        <v>72</v>
      </c>
      <c r="AR3" s="109">
        <v>0.6</v>
      </c>
    </row>
    <row r="4" spans="1:47" ht="18">
      <c r="A4" s="29" t="s">
        <v>24</v>
      </c>
      <c r="B4" s="12">
        <v>76.5</v>
      </c>
      <c r="C4" s="12">
        <v>76.5</v>
      </c>
      <c r="D4" s="13">
        <v>83</v>
      </c>
      <c r="E4" s="13">
        <v>93</v>
      </c>
      <c r="F4" s="13">
        <v>85</v>
      </c>
      <c r="G4" s="13">
        <v>88</v>
      </c>
      <c r="H4" s="13">
        <v>85</v>
      </c>
      <c r="I4" s="13">
        <v>85</v>
      </c>
      <c r="J4" s="13">
        <v>63.3</v>
      </c>
      <c r="K4" s="13">
        <v>80</v>
      </c>
      <c r="L4" s="13">
        <v>90</v>
      </c>
      <c r="M4" s="13">
        <v>85</v>
      </c>
      <c r="N4" s="29" t="s">
        <v>24</v>
      </c>
      <c r="O4" s="13">
        <v>96.6</v>
      </c>
      <c r="P4" s="13">
        <v>99</v>
      </c>
      <c r="Q4" s="38">
        <v>95</v>
      </c>
      <c r="R4" s="13"/>
      <c r="S4" s="13"/>
      <c r="T4" s="13"/>
      <c r="U4" s="13">
        <v>95</v>
      </c>
      <c r="V4" s="38">
        <v>95</v>
      </c>
      <c r="W4" s="13">
        <v>92</v>
      </c>
      <c r="X4" s="38">
        <v>90</v>
      </c>
      <c r="Y4" s="38"/>
      <c r="Z4" s="38"/>
      <c r="AA4" s="1"/>
      <c r="AB4" s="2"/>
      <c r="AC4" s="32"/>
      <c r="AD4" s="2"/>
      <c r="AE4" s="2"/>
      <c r="AF4" s="2"/>
      <c r="AG4" s="1"/>
      <c r="AH4" s="4" t="s">
        <v>64</v>
      </c>
      <c r="AI4" s="7">
        <v>106000</v>
      </c>
      <c r="AJ4" s="7">
        <v>317000</v>
      </c>
      <c r="AK4" s="1"/>
      <c r="AL4" s="19"/>
      <c r="AM4" s="19"/>
      <c r="AN4" s="1"/>
      <c r="AO4" s="67"/>
    </row>
    <row r="5" spans="1:47" ht="18">
      <c r="A5" s="29" t="s">
        <v>61</v>
      </c>
      <c r="B5" s="12">
        <v>19</v>
      </c>
      <c r="C5" s="12">
        <v>19</v>
      </c>
      <c r="D5" s="13">
        <v>20</v>
      </c>
      <c r="E5" s="13">
        <v>40</v>
      </c>
      <c r="F5" s="13">
        <v>15</v>
      </c>
      <c r="G5" s="13">
        <v>25</v>
      </c>
      <c r="H5" s="13">
        <v>15</v>
      </c>
      <c r="I5" s="13">
        <v>60</v>
      </c>
      <c r="J5" s="13">
        <v>2.7</v>
      </c>
      <c r="K5" s="13">
        <v>175</v>
      </c>
      <c r="L5" s="13">
        <v>20</v>
      </c>
      <c r="M5" s="13">
        <v>30</v>
      </c>
      <c r="N5" s="29" t="s">
        <v>25</v>
      </c>
      <c r="O5" s="13">
        <v>6</v>
      </c>
      <c r="P5" s="13">
        <v>100</v>
      </c>
      <c r="Q5" s="38">
        <v>75</v>
      </c>
      <c r="R5" s="13"/>
      <c r="S5" s="13"/>
      <c r="T5" s="13"/>
      <c r="U5" s="13">
        <v>20</v>
      </c>
      <c r="V5" s="38">
        <v>20</v>
      </c>
      <c r="W5" s="13">
        <v>20</v>
      </c>
      <c r="X5" s="38">
        <v>98</v>
      </c>
      <c r="Y5" s="38"/>
      <c r="Z5" s="38"/>
      <c r="AA5" s="1"/>
      <c r="AB5" s="2"/>
      <c r="AC5" s="32"/>
      <c r="AD5" s="2"/>
      <c r="AE5" s="2"/>
      <c r="AF5" s="2"/>
      <c r="AG5" s="1"/>
      <c r="AH5" s="4" t="s">
        <v>36</v>
      </c>
      <c r="AI5" s="105">
        <v>0.65</v>
      </c>
      <c r="AJ5" s="105">
        <v>1</v>
      </c>
      <c r="AK5" s="1"/>
      <c r="AL5" s="19"/>
      <c r="AM5" s="19"/>
      <c r="AN5" s="1"/>
      <c r="AO5" s="67"/>
      <c r="AR5" s="35" t="s">
        <v>73</v>
      </c>
    </row>
    <row r="6" spans="1:47" s="35" customFormat="1" ht="18">
      <c r="A6" s="5" t="s">
        <v>26</v>
      </c>
      <c r="B6" s="106">
        <v>1</v>
      </c>
      <c r="C6" s="106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5" t="s">
        <v>26</v>
      </c>
      <c r="O6" s="38">
        <v>1</v>
      </c>
      <c r="P6" s="38">
        <v>1</v>
      </c>
      <c r="Q6" s="38">
        <v>1</v>
      </c>
      <c r="R6" s="38"/>
      <c r="S6" s="38"/>
      <c r="T6" s="38"/>
      <c r="U6" s="38">
        <v>1</v>
      </c>
      <c r="V6" s="38">
        <v>1</v>
      </c>
      <c r="W6" s="38">
        <v>1</v>
      </c>
      <c r="X6" s="38">
        <v>1</v>
      </c>
      <c r="Y6" s="38"/>
      <c r="Z6" s="38"/>
      <c r="AA6" s="37"/>
      <c r="AB6" s="32"/>
      <c r="AC6" s="32"/>
      <c r="AD6" s="32"/>
      <c r="AE6" s="32"/>
      <c r="AF6" s="32"/>
      <c r="AG6" s="37"/>
      <c r="AH6" s="74" t="s">
        <v>65</v>
      </c>
      <c r="AI6" s="36">
        <f>AI4*AI5</f>
        <v>68900</v>
      </c>
      <c r="AJ6" s="36">
        <f>AJ4*AJ5</f>
        <v>317000</v>
      </c>
      <c r="AK6" s="37"/>
      <c r="AL6" s="107"/>
      <c r="AM6" s="107"/>
      <c r="AN6" s="37"/>
      <c r="AO6" s="108"/>
      <c r="AQ6" t="s">
        <v>58</v>
      </c>
      <c r="AR6" s="109">
        <v>0.38800000000000001</v>
      </c>
    </row>
    <row r="7" spans="1:47" ht="18">
      <c r="A7" s="29" t="s">
        <v>29</v>
      </c>
      <c r="B7" s="83">
        <v>1</v>
      </c>
      <c r="C7" s="83">
        <v>1</v>
      </c>
      <c r="D7" s="14">
        <v>1</v>
      </c>
      <c r="E7" s="14">
        <v>0.95</v>
      </c>
      <c r="F7" s="14">
        <v>0.95</v>
      </c>
      <c r="G7" s="14">
        <v>0.5</v>
      </c>
      <c r="H7" s="14">
        <v>0.75</v>
      </c>
      <c r="I7" s="14">
        <v>0.65</v>
      </c>
      <c r="J7" s="14">
        <v>1</v>
      </c>
      <c r="K7" s="14">
        <v>0.3</v>
      </c>
      <c r="L7" s="14">
        <v>0.6</v>
      </c>
      <c r="M7" s="14">
        <v>0.7</v>
      </c>
      <c r="N7" s="29" t="s">
        <v>29</v>
      </c>
      <c r="O7" s="14">
        <v>1</v>
      </c>
      <c r="P7" s="14">
        <v>1</v>
      </c>
      <c r="Q7" s="39">
        <v>1</v>
      </c>
      <c r="R7" s="14"/>
      <c r="S7" s="14"/>
      <c r="T7" s="14"/>
      <c r="U7" s="14">
        <v>1</v>
      </c>
      <c r="V7" s="39">
        <v>1</v>
      </c>
      <c r="W7" s="14">
        <v>1</v>
      </c>
      <c r="X7" s="39">
        <v>1</v>
      </c>
      <c r="Y7" s="39"/>
      <c r="Z7" s="39"/>
      <c r="AB7" s="3"/>
      <c r="AC7" s="33"/>
      <c r="AD7" s="3"/>
      <c r="AE7" s="3"/>
      <c r="AF7" s="3"/>
      <c r="AH7" s="4" t="s">
        <v>71</v>
      </c>
      <c r="AJ7" s="68" t="s">
        <v>68</v>
      </c>
      <c r="AQ7" s="134" t="s">
        <v>59</v>
      </c>
      <c r="AR7" s="134"/>
    </row>
    <row r="8" spans="1:47" ht="18">
      <c r="A8" s="48" t="s">
        <v>74</v>
      </c>
      <c r="B8" s="84">
        <v>320</v>
      </c>
      <c r="C8" s="84">
        <v>320</v>
      </c>
      <c r="D8" s="85">
        <v>300</v>
      </c>
      <c r="E8" s="85">
        <v>660</v>
      </c>
      <c r="F8" s="85">
        <v>550</v>
      </c>
      <c r="G8" s="86">
        <v>500</v>
      </c>
      <c r="H8" s="85">
        <v>450</v>
      </c>
      <c r="I8" s="87">
        <v>333</v>
      </c>
      <c r="J8" s="88">
        <v>0</v>
      </c>
      <c r="K8" s="87">
        <v>333</v>
      </c>
      <c r="L8" s="87">
        <v>333</v>
      </c>
      <c r="M8" s="85">
        <v>450</v>
      </c>
      <c r="N8" s="1"/>
      <c r="O8" s="89">
        <v>500</v>
      </c>
      <c r="P8" s="90">
        <v>800</v>
      </c>
      <c r="Q8" s="91">
        <v>800</v>
      </c>
      <c r="U8" s="90">
        <v>700</v>
      </c>
      <c r="V8" s="91">
        <v>700</v>
      </c>
      <c r="W8" s="92">
        <v>900</v>
      </c>
      <c r="X8" s="91">
        <v>900</v>
      </c>
      <c r="AB8" s="3"/>
      <c r="AC8" s="5"/>
      <c r="AD8" s="3"/>
      <c r="AE8" s="3"/>
      <c r="AF8" s="3"/>
      <c r="AH8" s="99"/>
      <c r="AI8" s="100" t="s">
        <v>37</v>
      </c>
      <c r="AJ8" s="100"/>
      <c r="AL8" s="135" t="s">
        <v>69</v>
      </c>
      <c r="AM8" s="135"/>
      <c r="AN8" s="135"/>
      <c r="AO8" s="135"/>
      <c r="AQ8" s="4" t="s">
        <v>54</v>
      </c>
      <c r="AR8" s="4" t="s">
        <v>54</v>
      </c>
    </row>
    <row r="9" spans="1:47">
      <c r="B9" s="136" t="s">
        <v>18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O9" s="137" t="s">
        <v>42</v>
      </c>
      <c r="P9" s="137"/>
      <c r="Q9" s="137"/>
      <c r="R9" s="137"/>
      <c r="S9" s="50"/>
      <c r="T9" s="50"/>
      <c r="U9" s="50"/>
      <c r="V9" s="50"/>
      <c r="W9" s="50"/>
      <c r="X9" s="50"/>
      <c r="Y9" s="138" t="s">
        <v>51</v>
      </c>
      <c r="Z9" s="138"/>
      <c r="AA9" s="5"/>
      <c r="AB9" s="49" t="s">
        <v>0</v>
      </c>
      <c r="AC9" s="50" t="s">
        <v>1</v>
      </c>
      <c r="AD9" s="5" t="s">
        <v>2</v>
      </c>
      <c r="AE9" s="49" t="s">
        <v>3</v>
      </c>
      <c r="AF9" s="50" t="s">
        <v>4</v>
      </c>
      <c r="AG9" s="4"/>
      <c r="AH9" s="4"/>
      <c r="AI9" s="6" t="s">
        <v>34</v>
      </c>
      <c r="AJ9" s="6" t="s">
        <v>35</v>
      </c>
      <c r="AK9" s="4"/>
      <c r="AL9" s="19"/>
      <c r="AM9" s="19"/>
      <c r="AN9" s="4" t="s">
        <v>39</v>
      </c>
      <c r="AO9" s="6"/>
      <c r="AQ9" s="4" t="s">
        <v>55</v>
      </c>
      <c r="AR9" s="4" t="s">
        <v>56</v>
      </c>
    </row>
    <row r="10" spans="1:47" ht="45">
      <c r="A10" s="6" t="s">
        <v>62</v>
      </c>
      <c r="B10" s="93" t="s">
        <v>6</v>
      </c>
      <c r="C10" s="94" t="s">
        <v>5</v>
      </c>
      <c r="D10" s="93" t="s">
        <v>7</v>
      </c>
      <c r="E10" s="93" t="s">
        <v>28</v>
      </c>
      <c r="F10" s="125" t="s">
        <v>27</v>
      </c>
      <c r="G10" s="93" t="s">
        <v>31</v>
      </c>
      <c r="H10" s="93" t="s">
        <v>32</v>
      </c>
      <c r="I10" s="93" t="s">
        <v>33</v>
      </c>
      <c r="J10" s="93" t="s">
        <v>8</v>
      </c>
      <c r="K10" s="93" t="s">
        <v>9</v>
      </c>
      <c r="L10" s="93" t="s">
        <v>30</v>
      </c>
      <c r="M10" s="93" t="s">
        <v>10</v>
      </c>
      <c r="N10" s="9" t="s">
        <v>62</v>
      </c>
      <c r="O10" s="94" t="s">
        <v>11</v>
      </c>
      <c r="P10" s="94" t="s">
        <v>44</v>
      </c>
      <c r="Q10" s="94" t="s">
        <v>12</v>
      </c>
      <c r="R10" s="94" t="s">
        <v>13</v>
      </c>
      <c r="S10" s="94" t="s">
        <v>14</v>
      </c>
      <c r="T10" s="94" t="s">
        <v>15</v>
      </c>
      <c r="U10" s="94" t="s">
        <v>43</v>
      </c>
      <c r="V10" s="95" t="s">
        <v>52</v>
      </c>
      <c r="W10" s="94" t="s">
        <v>22</v>
      </c>
      <c r="X10" s="95" t="s">
        <v>41</v>
      </c>
      <c r="Y10" s="97" t="s">
        <v>47</v>
      </c>
      <c r="Z10" s="97" t="s">
        <v>46</v>
      </c>
      <c r="AA10" s="6"/>
      <c r="AB10" s="29" t="s">
        <v>16</v>
      </c>
      <c r="AC10" s="5" t="s">
        <v>16</v>
      </c>
      <c r="AD10" s="29" t="s">
        <v>16</v>
      </c>
      <c r="AE10" s="3" t="s">
        <v>17</v>
      </c>
      <c r="AF10" s="3" t="s">
        <v>17</v>
      </c>
      <c r="AH10" s="6" t="s">
        <v>66</v>
      </c>
      <c r="AI10" s="4" t="s">
        <v>67</v>
      </c>
      <c r="AJ10" s="4" t="s">
        <v>67</v>
      </c>
      <c r="AL10" s="20" t="s">
        <v>25</v>
      </c>
      <c r="AM10" s="20" t="s">
        <v>26</v>
      </c>
      <c r="AN10" s="6" t="s">
        <v>38</v>
      </c>
      <c r="AO10" s="6" t="s">
        <v>26</v>
      </c>
      <c r="AQ10" s="6" t="s">
        <v>53</v>
      </c>
      <c r="AR10" s="6" t="s">
        <v>57</v>
      </c>
    </row>
    <row r="11" spans="1:47">
      <c r="A11">
        <v>1</v>
      </c>
      <c r="B11" s="21">
        <v>4000</v>
      </c>
      <c r="C11" s="22">
        <v>2000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  <c r="J11" s="23">
        <v>4000</v>
      </c>
      <c r="K11" s="23">
        <v>0</v>
      </c>
      <c r="L11" s="23">
        <v>0</v>
      </c>
      <c r="M11" s="111">
        <v>0</v>
      </c>
      <c r="N11" s="8">
        <v>1</v>
      </c>
      <c r="O11" s="110">
        <f>275+4000</f>
        <v>4275</v>
      </c>
      <c r="P11" s="23">
        <v>1000</v>
      </c>
      <c r="Q11" s="23">
        <v>0</v>
      </c>
      <c r="R11" s="23">
        <v>30</v>
      </c>
      <c r="S11" s="23">
        <v>0</v>
      </c>
      <c r="T11" s="23">
        <v>0</v>
      </c>
      <c r="U11" s="22">
        <f>1000</f>
        <v>1000</v>
      </c>
      <c r="V11" s="23">
        <v>19</v>
      </c>
      <c r="W11" s="22">
        <f>3*325</f>
        <v>975</v>
      </c>
      <c r="X11" s="23">
        <v>0</v>
      </c>
      <c r="Y11" s="23">
        <v>0</v>
      </c>
      <c r="Z11" s="111"/>
      <c r="AB11" s="10">
        <f t="shared" ref="AB11:AB39" si="0">SUM(B11:M11)</f>
        <v>10000</v>
      </c>
      <c r="AC11" s="34">
        <f>O11+P11+Q11+R11+U11+(V11*$V$2)+W11+X11+Y11</f>
        <v>7964</v>
      </c>
      <c r="AD11" s="10">
        <f t="shared" ref="AD11:AD39" si="1">SUM(AB11:AC11)</f>
        <v>17964</v>
      </c>
      <c r="AE11" s="72">
        <f t="shared" ref="AE11:AE39" si="2">(AB11*100)/AD11</f>
        <v>55.666889334224003</v>
      </c>
      <c r="AF11" s="72">
        <f t="shared" ref="AF11:AF39" si="3">(AC11*100)/AD11</f>
        <v>44.333110665775997</v>
      </c>
      <c r="AH11" s="70">
        <f t="shared" ref="AH11:AH39" si="4">((B11*8.34*$B$7*($B$3/100))*($B$4/100))+((C11*8.34*$C$7*($C$3/100))*($C$4/100))+ ((D11*8.34*$D$7*($D$3/100))*($D$4/100))+((E11*8.34*$E$7*($E$3/100))*($E$4/100))+ ((F11*8.34*$F$7*($F$3/100))*($F$4/100))+((G11*8.34*$G$7*($G$3/100))*($G$4/100))+ ((H11*8.34*$H$7*($H$3/100))*($H$4/100))+((I11*8.34*$I$7*($I$3/100))*($I$4/100))+ ((J11*8.34*$J$7*($J$3/100))*($J$4/100))+((K11*8.34*$K$7*($K$3/100))*($K$4/100))+ ((L11*8.34*$L$7*($L$3/100))*($L$4/100))+((M11*8.34*$M$7*($M$3/100))*($M$4/100))+ ((O11*8.34*$O$7*($O$3/100))*($O$4/100))+((P11*8.34*$P$7*($P$3/100))*($P$4/100))+
((Q11*8.34*$Q$7*($Q$3/100))*($Q$4/100))+((R11*8.34*$R$7*($R$3/100))*($R$4/100))+
((U11*8.34*$U$7*($U$3/100))*($U$4/100))+(((V11*$V$2)*8.34*$V$7*($V$3/100))*($V$4/100))+
((W11*8.34*$W$7*($W$3/100))*($W$4/100))+((X11*8.34*$X$7*($X$3/100))*($X$4/100))</f>
        <v>11917.280370000002</v>
      </c>
      <c r="AI11" s="17">
        <f t="shared" ref="AI11:AI39" si="5">AH11/$AI$6</f>
        <v>0.1729648820029028</v>
      </c>
      <c r="AJ11" s="17">
        <f t="shared" ref="AJ11:AJ39" si="6">AH11/$AJ$6</f>
        <v>3.7593944384858052E-2</v>
      </c>
      <c r="AL11" s="102">
        <f t="shared" ref="AL11:AL39" si="7">((((B11*8.34*$B$7*($B$3/100))*($B$4/100))/($B$5+$B$6))*$B$5)
+((((C11*8.34*$C$7*($C$3/100))*($C$4/100))/($C$5+$C$6))*$C$5)
+((((D11*8.34*$D$7*($D$3/100))*($D$4/100))/($D$5+$D$6))*$D$5)
+((((E11*8.34*$E$7*($E$3/100))*($E$4/100))/($E$5+$E$6))*$E$5)
+((((F11*8.34*$F$7*($F$3/100))*($F$4/100))/($F$5+$F$6))*$F$5)
+((((G11*8.34*$G$7*($G$3/100))*($G$4/100))/($G$5+$G$6))*$G$5)
+((((H11*8.34*$H$7*($H$3/100))*($H$4/100))/($H$5+$H$6))*$H$5)
+((((I11*8.34*$I$7*($I$3/100))*($I$4/100))/($I$5+$I$6))*$I$5)
+((((J11*8.34*$J$7*($J$3/100))*($J$4/100))/($J$5+$J$6))*$J$5)
+((((K11*8.34*$K$7*($K$3/100))*($K$4/100))/($K$5+$K$6))*$K$5)
+((((L11*8.34*$L$7*($L$3/100))*($L$4/100))/($L$5+$L$6))*$L$5)
+((((M11*8.34*$M$7*($M$3/100))*($M$4/100))/($M$5+$M$6))*$M$5)
+((((O11*8.34*$O$7*($O$3/100))*($O$4/100))/($O$5+$O$6))*$O$5)
+((((P11*8.34*$P$7*($P$3/100))*($P$4/100))/($P$5+$P$6))*$P$5)
+((((Q11*8.34*$Q$7*($Q$3/100))*($Q$4/100))/($Q$5+$Q$6))*$Q$5)
+((((U11*8.34*$U$7*($U$3/100))*($U$4/100))/($U$5+$U$6))*$U$5)
+(((((V11*$V$2)*8.34*$V$7*($V$3/100))*($V$4/100))/($V$5+$V$6))*$V$5)
+((((W11*8.34*$W$7*($W$3/100))*($W$4/100))/($W$5+$W$6))*$W$5)
+((((X11*8.34*$X$7*($X$3/100))*($X$4/100))/($X$5+$X$6))*$X$5)</f>
        <v>11158.320004339999</v>
      </c>
      <c r="AM11" s="102">
        <f t="shared" ref="AM11:AM39" si="8">((((B11*8.34*$B$7*($B$3/100))*($B$4/100))/($B$5+$B$6))*$B$6)
+((((C11*8.34*$C$7*($C$3/100))*($C$4/100))/($C$5+$C$6))*$C$6)
+((((D11*8.34*$D$7*($D$3/100))*($D$4/100))/($D$5+$D$6))*$D$6)
+((((E11*8.34*$E$7*($E$3/100))*($E$4/100))/($E$5+$E$6))*$E$6)
+((((F11*8.34*$F$7*($F$3/100))*($F$4/100))/($F$5+$F$6))*$F$6)
+((((G11*8.34*$G$7*($G$3/100))*($G$4/100))/($G$5+$G$6))*$G$6)
+((((H11*8.34*$H$7*($H$3/100))*($H$4/100))/($H$5+$H$6))*$H$6)
+((((I11*8.34*$I$7*($I$3/100))*($I$4/100))/($I$5+$I$6))*$I$6)
+((((J11*8.34*$J$7*($J$3/100))*($J$4/100))/($J$5+$J$6))*$J$6)
+((((K11*8.34*$K$7*($K$3/100))*($K$4/100))/($K$5+$K$6))*$K$6)
+((((L11*8.34*$L$7*($L$3/100))*($L$4/100))/($L$5+$L$6))*$L$6)
+((((M11*8.34*$M$7*($M$3/100))*($M$4/100))/($M$5+$M$6))*$M$6)
+((((O11*8.34*$O$7*($O$3/100))*($O$4/100))/($O$5+$O$6))*$O$6)
+((((P11*8.34*$P$7*($P$3/100))*($P$4/100))/($P$5+$P$6))*$P$6)
+((((Q11*8.34*$Q$7*($Q$3/100))*($Q$4/100))/($Q$5+$Q$6))*$Q$6)
+((((U11*8.34*$U$7*($U$3/100))*($U$4/100))/($U$5+$U$6))*$U$6)
+(((((V11*$V$2) *8.34*$V$7*($V$3/100))*($V$4/100))/($V$5+$V$6))*$V$6)
+((((W11*8.34*$W$7*($W$3/100))*($W$4/100))/($W$5+$W$6))*$W$6)
+((((X11*8.34*$X$7*($X$3/100))*($X$4/100))/($X$5+$X$6))*$X$6)</f>
        <v>758.96036566000225</v>
      </c>
      <c r="AN11" s="46">
        <f>((AL11+AM11)/AM11)-1</f>
        <v>14.702111611107087</v>
      </c>
      <c r="AO11" s="68">
        <v>1</v>
      </c>
      <c r="AQ11" s="18">
        <f>(B11*($B$3/100)*($B$4/100)*$B$7*8.34*0.000453592*$B$8)+
(C11*($C$3/100)*($C$4/100)*$C$7*8.34*0.000453592*$C$8)+
(D11*($D$3/100)*($D$4/100)*$D$7*8.34*0.000453592*$D$8)+
(E11*($E$3/100)*($E$4/100)*$E$7*8.34*0.000453592*$E$8)+
(F11*($F$3/100)*($F$4/100)*$F$7*8.34*0.000453592*$F$8)+
(G11*($G$3/100)*($G$4/100)*$G$7*8.34*0.000453592*$G$8)+
(H11*($H$3/100)*($H$4/100)*$H$7*8.34*0.000453592*$H$8)+
(I11*($I$3/100)*($I$4/100)*$I$7*8.34*0.000453592*$I$8)+
(J11*($J$3/100)*($J$4/100)*$J$7*8.34*0.000453592*$J$8)+
(K11*($K$3/100)*($K$4/100)*$K$7*8.34*0.000453592*$K$8)+
(L11*($L$3/100)*($L$4/100)*$L$7*8.34*0.000453592*$L$8)+
(M11*($M$3/100)*($M$4/100)*$M$7*8.34*0.000453592*$M$8)+
(O11*($O$3/100)*($O$4/100)*$O$7*8.34*0.000453592*$O$8)+
(P11*($P$3/100)*($P$4/100)*$P$7*8.34*0.000453592*$P$8)+
(Q11*($Q$3/100)*($Q$4/100)*$Q$7*8.34*0.000453592*$Q$8)+
(U11*($U$3/100)*($U$4/100)*$U$7*8.34*0.000453592*$U$8)+
(V11*$V$2*($V$3/100)*($BV$4/100)*$V$7*8.34*0.000453592*$V$8)+
(W11*($W$3/100)*($W$4/100)*$W$7*8.34*0.000453592*$W$8)+
(X11*($X$3/100)*($X$4/100)*$X$7*8.34*0.000453592*$X$8)</f>
        <v>2631.5130377247606</v>
      </c>
      <c r="AR11" s="18">
        <f>AQ11*$AR$3*10*$AR$6</f>
        <v>6126.1623518232427</v>
      </c>
      <c r="AU11" s="40"/>
    </row>
    <row r="12" spans="1:47">
      <c r="A12">
        <v>2</v>
      </c>
      <c r="B12" s="24">
        <v>4000</v>
      </c>
      <c r="C12" s="25">
        <v>2000</v>
      </c>
      <c r="D12" s="26">
        <f>10*120</f>
        <v>1200</v>
      </c>
      <c r="E12" s="26">
        <v>0</v>
      </c>
      <c r="F12" s="26"/>
      <c r="G12" s="26">
        <v>0</v>
      </c>
      <c r="H12" s="26">
        <v>0</v>
      </c>
      <c r="I12" s="26">
        <v>0</v>
      </c>
      <c r="J12" s="26">
        <v>3000</v>
      </c>
      <c r="K12" s="26">
        <v>0</v>
      </c>
      <c r="L12" s="26">
        <v>0</v>
      </c>
      <c r="M12" s="113">
        <v>0</v>
      </c>
      <c r="N12" s="8">
        <v>2</v>
      </c>
      <c r="O12" s="112">
        <v>900</v>
      </c>
      <c r="P12" s="26">
        <v>1000</v>
      </c>
      <c r="Q12" s="26">
        <v>0</v>
      </c>
      <c r="R12" s="26">
        <v>30</v>
      </c>
      <c r="S12" s="26">
        <v>0</v>
      </c>
      <c r="T12" s="26">
        <v>0</v>
      </c>
      <c r="U12" s="25">
        <v>1000</v>
      </c>
      <c r="V12" s="26">
        <v>0</v>
      </c>
      <c r="W12" s="78">
        <v>0</v>
      </c>
      <c r="X12" s="26">
        <v>0</v>
      </c>
      <c r="Y12" s="26">
        <v>0</v>
      </c>
      <c r="Z12" s="113"/>
      <c r="AB12" s="10">
        <f t="shared" si="0"/>
        <v>10200</v>
      </c>
      <c r="AC12" s="34">
        <f>O12+P12+Q12+R12+U12+(V12*$V$2)+W12+X12+Y12</f>
        <v>2930</v>
      </c>
      <c r="AD12" s="10">
        <f t="shared" si="1"/>
        <v>13130</v>
      </c>
      <c r="AE12" s="72">
        <f t="shared" si="2"/>
        <v>77.684691546077687</v>
      </c>
      <c r="AF12" s="72">
        <f t="shared" si="3"/>
        <v>22.315308453922317</v>
      </c>
      <c r="AH12" s="70">
        <f t="shared" si="4"/>
        <v>10210.878840000001</v>
      </c>
      <c r="AI12" s="17">
        <f t="shared" si="5"/>
        <v>0.14819853178519596</v>
      </c>
      <c r="AJ12" s="17">
        <f t="shared" si="6"/>
        <v>3.2210974258675085E-2</v>
      </c>
      <c r="AL12" s="102">
        <f t="shared" si="7"/>
        <v>9702.6186328342083</v>
      </c>
      <c r="AM12" s="102">
        <f t="shared" si="8"/>
        <v>508.26020716579387</v>
      </c>
      <c r="AN12" s="46">
        <f t="shared" ref="AN12:AN39" si="9">((AL12+AM12)/AM12)-1</f>
        <v>19.089864789806818</v>
      </c>
      <c r="AO12" s="68">
        <v>1</v>
      </c>
      <c r="AQ12" s="18">
        <f t="shared" ref="AQ12:AQ39" si="10">(B12*($B$3/100)*($B$4/100)*$B$7*8.34*0.000453592*$B$8)+
(C12*($C$3/100)*($C$4/100)*$C$7*8.34*0.000453592*$C$8)+
(D12*($D$3/100)*($D$4/100)*$D$7*8.34*0.000453592*$D$8)+
(E12*($E$3/100)*($E$4/100)*$E$7*8.34*0.000453592*$E$8)+
(F12*($F$3/100)*($F$4/100)*$F$7*8.34*0.000453592*$F$8)+
(G12*($G$3/100)*($G$4/100)*$G$7*8.34*0.000453592*$G$8)+
(H12*($H$3/100)*($H$4/100)*$H$7*8.34*0.000453592*$H$8)+
(I12*($I$3/100)*($I$4/100)*$I$7*8.34*0.000453592*$I$8)+
(J12*($J$3/100)*($J$4/100)*$J$7*8.34*0.000453592*$J$8)+
(K12*($K$3/100)*($K$4/100)*$K$7*8.34*0.000453592*$K$8)+
(L12*($L$3/100)*($L$4/100)*$L$7*8.34*0.000453592*$L$8)+
(M12*($M$3/100)*($M$4/100)*$M$7*8.34*0.000453592*$M$8)+
(O12*($O$3/100)*($O$4/100)*$O$7*8.34*0.000453592*$O$8)+
(P12*($P$3/100)*($P$4/100)*$P$7*8.34*0.000453592*$P$8)+
(Q12*($Q$3/100)*($Q$4/100)*$Q$7*8.34*0.000453592*$Q$8)+
(U12*($U$3/100)*($U$4/100)*$U$7*8.34*0.000453592*$U$8)+
(V12*$V$2*($V$3/100)*($BV$4/100)*$V$7*8.34*0.000453592*$V$8)+
(W12*($W$3/100)*($W$4/100)*$W$7*8.34*0.000453592*$W$8)+
(X12*($X$3/100)*($X$4/100)*$X$7*8.34*0.000453592*$X$8)</f>
        <v>2321.8846045320001</v>
      </c>
      <c r="AR12" s="18">
        <f t="shared" ref="AR12:AR39" si="11">AQ12*$AR$3*10*$AR$6</f>
        <v>5405.3473593504959</v>
      </c>
      <c r="AU12" s="40"/>
    </row>
    <row r="13" spans="1:47">
      <c r="A13">
        <v>3</v>
      </c>
      <c r="B13" s="24">
        <v>4000</v>
      </c>
      <c r="C13" s="25">
        <v>2000</v>
      </c>
      <c r="D13" s="26">
        <v>0</v>
      </c>
      <c r="E13" s="26">
        <v>0</v>
      </c>
      <c r="F13" s="26"/>
      <c r="G13" s="26">
        <v>0</v>
      </c>
      <c r="H13" s="26">
        <v>0</v>
      </c>
      <c r="I13" s="26">
        <v>0</v>
      </c>
      <c r="J13" s="26">
        <v>1000</v>
      </c>
      <c r="K13" s="26">
        <v>0</v>
      </c>
      <c r="L13" s="26">
        <v>0</v>
      </c>
      <c r="M13" s="113">
        <v>0</v>
      </c>
      <c r="N13" s="8">
        <v>3</v>
      </c>
      <c r="O13" s="112">
        <v>900</v>
      </c>
      <c r="P13" s="26">
        <v>1000</v>
      </c>
      <c r="Q13" s="26">
        <v>0</v>
      </c>
      <c r="R13" s="26">
        <v>0</v>
      </c>
      <c r="S13" s="26">
        <v>0</v>
      </c>
      <c r="T13" s="26">
        <v>0</v>
      </c>
      <c r="U13" s="78">
        <v>0</v>
      </c>
      <c r="V13" s="78">
        <v>0</v>
      </c>
      <c r="W13" s="78">
        <v>0</v>
      </c>
      <c r="X13" s="26">
        <v>0</v>
      </c>
      <c r="Y13" s="26">
        <v>0</v>
      </c>
      <c r="Z13" s="113"/>
      <c r="AB13" s="10">
        <f t="shared" si="0"/>
        <v>7000</v>
      </c>
      <c r="AC13" s="34">
        <f t="shared" ref="AC13:AC39" si="12">O13+P13+Q13+R13+U13+(V13*$V$2)+W13+X13+Y13</f>
        <v>1900</v>
      </c>
      <c r="AD13" s="10">
        <f t="shared" si="1"/>
        <v>8900</v>
      </c>
      <c r="AE13" s="72">
        <f t="shared" si="2"/>
        <v>78.651685393258433</v>
      </c>
      <c r="AF13" s="72">
        <f t="shared" si="3"/>
        <v>21.348314606741575</v>
      </c>
      <c r="AH13" s="70">
        <f t="shared" si="4"/>
        <v>7511.3542800000005</v>
      </c>
      <c r="AI13" s="17">
        <f t="shared" si="5"/>
        <v>0.10901820435413644</v>
      </c>
      <c r="AJ13" s="17">
        <f t="shared" si="6"/>
        <v>2.3695123911671927E-2</v>
      </c>
      <c r="AL13" s="102">
        <f t="shared" si="7"/>
        <v>7211.571746965481</v>
      </c>
      <c r="AM13" s="102">
        <f t="shared" si="8"/>
        <v>299.7825330345197</v>
      </c>
      <c r="AN13" s="46">
        <f t="shared" si="9"/>
        <v>24.056010448530952</v>
      </c>
      <c r="AO13" s="68">
        <v>1</v>
      </c>
      <c r="AQ13" s="18">
        <f t="shared" si="10"/>
        <v>1902.7632015662402</v>
      </c>
      <c r="AR13" s="18">
        <f t="shared" si="11"/>
        <v>4429.6327332462079</v>
      </c>
      <c r="AU13" s="40"/>
    </row>
    <row r="14" spans="1:47">
      <c r="A14">
        <v>4</v>
      </c>
      <c r="B14" s="24">
        <v>4000</v>
      </c>
      <c r="C14" s="25">
        <v>2000</v>
      </c>
      <c r="D14" s="26">
        <f>10*120</f>
        <v>1200</v>
      </c>
      <c r="E14" s="26">
        <v>0</v>
      </c>
      <c r="F14" s="26"/>
      <c r="G14" s="26">
        <v>0</v>
      </c>
      <c r="H14" s="26">
        <v>0</v>
      </c>
      <c r="I14" s="26">
        <v>0</v>
      </c>
      <c r="J14" s="26">
        <v>4000</v>
      </c>
      <c r="K14" s="26">
        <v>0</v>
      </c>
      <c r="L14" s="26">
        <v>0</v>
      </c>
      <c r="M14" s="113">
        <v>0</v>
      </c>
      <c r="N14" s="8">
        <v>4</v>
      </c>
      <c r="O14" s="112">
        <v>900</v>
      </c>
      <c r="P14" s="26">
        <v>1000</v>
      </c>
      <c r="Q14" s="26">
        <v>0</v>
      </c>
      <c r="R14" s="26">
        <v>30</v>
      </c>
      <c r="S14" s="26">
        <v>0</v>
      </c>
      <c r="T14" s="26">
        <v>0</v>
      </c>
      <c r="U14" s="78">
        <v>0</v>
      </c>
      <c r="V14" s="76">
        <v>0</v>
      </c>
      <c r="W14" s="25">
        <f>325*2</f>
        <v>650</v>
      </c>
      <c r="X14" s="26">
        <v>0</v>
      </c>
      <c r="Y14" s="26">
        <v>0</v>
      </c>
      <c r="Z14" s="113"/>
      <c r="AB14" s="10">
        <f t="shared" si="0"/>
        <v>11200</v>
      </c>
      <c r="AC14" s="34">
        <f t="shared" si="12"/>
        <v>2580</v>
      </c>
      <c r="AD14" s="10">
        <f t="shared" si="1"/>
        <v>13780</v>
      </c>
      <c r="AE14" s="72">
        <f t="shared" si="2"/>
        <v>81.277213352685052</v>
      </c>
      <c r="AF14" s="72">
        <f t="shared" si="3"/>
        <v>18.722786647314948</v>
      </c>
      <c r="AH14" s="70">
        <f t="shared" si="4"/>
        <v>10234.74792</v>
      </c>
      <c r="AI14" s="17">
        <f t="shared" si="5"/>
        <v>0.1485449625544267</v>
      </c>
      <c r="AJ14" s="17">
        <f t="shared" si="6"/>
        <v>3.2286271041009465E-2</v>
      </c>
      <c r="AL14" s="102">
        <f t="shared" si="7"/>
        <v>9685.3866471971414</v>
      </c>
      <c r="AM14" s="102">
        <f t="shared" si="8"/>
        <v>549.3612728028595</v>
      </c>
      <c r="AN14" s="46">
        <f t="shared" si="9"/>
        <v>17.630268325581046</v>
      </c>
      <c r="AO14" s="68">
        <v>1</v>
      </c>
      <c r="AQ14" s="18">
        <f t="shared" si="10"/>
        <v>2308.6669517956802</v>
      </c>
      <c r="AR14" s="18">
        <f t="shared" si="11"/>
        <v>5374.5766637803445</v>
      </c>
      <c r="AU14" s="40"/>
    </row>
    <row r="15" spans="1:47">
      <c r="A15">
        <v>5</v>
      </c>
      <c r="B15" s="24">
        <v>4000</v>
      </c>
      <c r="C15" s="25">
        <v>2000</v>
      </c>
      <c r="D15" s="26">
        <f>3*120</f>
        <v>360</v>
      </c>
      <c r="E15" s="26">
        <v>0</v>
      </c>
      <c r="F15" s="26"/>
      <c r="G15" s="26">
        <v>0</v>
      </c>
      <c r="H15" s="26">
        <v>0</v>
      </c>
      <c r="I15" s="26">
        <v>0</v>
      </c>
      <c r="J15" s="26">
        <v>4000</v>
      </c>
      <c r="K15" s="26">
        <v>0</v>
      </c>
      <c r="L15" s="26">
        <v>0</v>
      </c>
      <c r="M15" s="113">
        <v>0</v>
      </c>
      <c r="N15" s="8">
        <v>5</v>
      </c>
      <c r="O15" s="112">
        <f>900+4000</f>
        <v>4900</v>
      </c>
      <c r="P15" s="26">
        <v>1000</v>
      </c>
      <c r="Q15" s="26">
        <v>0</v>
      </c>
      <c r="R15" s="26">
        <v>30</v>
      </c>
      <c r="S15" s="26">
        <v>0</v>
      </c>
      <c r="T15" s="26">
        <v>0</v>
      </c>
      <c r="U15" s="25">
        <v>1000</v>
      </c>
      <c r="V15" s="76">
        <v>0</v>
      </c>
      <c r="W15" s="78">
        <v>0</v>
      </c>
      <c r="X15" s="26">
        <v>0</v>
      </c>
      <c r="Y15" s="26">
        <v>0</v>
      </c>
      <c r="Z15" s="113"/>
      <c r="AB15" s="10">
        <f t="shared" si="0"/>
        <v>10360</v>
      </c>
      <c r="AC15" s="34">
        <f t="shared" si="12"/>
        <v>6930</v>
      </c>
      <c r="AD15" s="10">
        <f t="shared" si="1"/>
        <v>17290</v>
      </c>
      <c r="AE15" s="72">
        <f t="shared" si="2"/>
        <v>59.91902834008097</v>
      </c>
      <c r="AF15" s="72">
        <f t="shared" si="3"/>
        <v>40.08097165991903</v>
      </c>
      <c r="AH15" s="70">
        <f t="shared" si="4"/>
        <v>10751.511</v>
      </c>
      <c r="AI15" s="17">
        <f t="shared" si="5"/>
        <v>0.15604515239477504</v>
      </c>
      <c r="AJ15" s="17">
        <f t="shared" si="6"/>
        <v>3.3916438485804418E-2</v>
      </c>
      <c r="AL15" s="102">
        <f t="shared" si="7"/>
        <v>10024.085961482855</v>
      </c>
      <c r="AM15" s="102">
        <f t="shared" si="8"/>
        <v>727.42503851714514</v>
      </c>
      <c r="AN15" s="46">
        <f t="shared" si="9"/>
        <v>13.780232231099633</v>
      </c>
      <c r="AO15" s="68">
        <v>1</v>
      </c>
      <c r="AQ15" s="18">
        <f t="shared" si="10"/>
        <v>2517.2009586727681</v>
      </c>
      <c r="AR15" s="18">
        <f t="shared" si="11"/>
        <v>5860.0438317902044</v>
      </c>
      <c r="AU15" s="40"/>
    </row>
    <row r="16" spans="1:47">
      <c r="A16">
        <v>6</v>
      </c>
      <c r="B16" s="24">
        <v>4000</v>
      </c>
      <c r="C16" s="25">
        <v>2000</v>
      </c>
      <c r="D16" s="26">
        <f>7*120</f>
        <v>840</v>
      </c>
      <c r="E16" s="26">
        <f>5*120</f>
        <v>600</v>
      </c>
      <c r="F16" s="26"/>
      <c r="G16" s="26">
        <v>0</v>
      </c>
      <c r="H16" s="26">
        <v>0</v>
      </c>
      <c r="I16" s="26">
        <v>0</v>
      </c>
      <c r="J16" s="26">
        <v>4000</v>
      </c>
      <c r="K16" s="26">
        <v>0</v>
      </c>
      <c r="L16" s="26">
        <v>0</v>
      </c>
      <c r="M16" s="113">
        <v>0</v>
      </c>
      <c r="N16" s="8">
        <v>6</v>
      </c>
      <c r="O16" s="112">
        <v>0</v>
      </c>
      <c r="P16" s="26">
        <v>1000</v>
      </c>
      <c r="Q16" s="26">
        <v>0</v>
      </c>
      <c r="R16" s="26">
        <v>30</v>
      </c>
      <c r="S16" s="26">
        <v>0</v>
      </c>
      <c r="T16" s="26">
        <v>0</v>
      </c>
      <c r="U16" s="25">
        <v>1000</v>
      </c>
      <c r="V16" s="76">
        <v>0</v>
      </c>
      <c r="W16" s="25">
        <f>2*325</f>
        <v>650</v>
      </c>
      <c r="X16" s="26">
        <v>0</v>
      </c>
      <c r="Y16" s="26">
        <v>0</v>
      </c>
      <c r="Z16" s="113"/>
      <c r="AB16" s="10">
        <f t="shared" si="0"/>
        <v>11440</v>
      </c>
      <c r="AC16" s="34">
        <f t="shared" si="12"/>
        <v>2680</v>
      </c>
      <c r="AD16" s="10">
        <f t="shared" si="1"/>
        <v>14120</v>
      </c>
      <c r="AE16" s="72">
        <f t="shared" si="2"/>
        <v>81.019830028328613</v>
      </c>
      <c r="AF16" s="72">
        <f t="shared" si="3"/>
        <v>18.980169971671387</v>
      </c>
      <c r="AH16" s="70">
        <f t="shared" si="4"/>
        <v>11349.981060000002</v>
      </c>
      <c r="AI16" s="17">
        <f t="shared" si="5"/>
        <v>0.1647312200290276</v>
      </c>
      <c r="AJ16" s="17">
        <f t="shared" si="6"/>
        <v>3.5804356656151427E-2</v>
      </c>
      <c r="AL16" s="102">
        <f t="shared" si="7"/>
        <v>10815.930506430592</v>
      </c>
      <c r="AM16" s="102">
        <f t="shared" si="8"/>
        <v>534.05055356941</v>
      </c>
      <c r="AN16" s="46">
        <f t="shared" si="9"/>
        <v>20.25263420127671</v>
      </c>
      <c r="AO16" s="68">
        <v>1</v>
      </c>
      <c r="AQ16" s="18">
        <f t="shared" si="10"/>
        <v>2766.3978976934309</v>
      </c>
      <c r="AR16" s="18">
        <f t="shared" si="11"/>
        <v>6440.1743058303064</v>
      </c>
      <c r="AU16" s="40"/>
    </row>
    <row r="17" spans="1:47">
      <c r="A17">
        <v>7</v>
      </c>
      <c r="B17" s="24">
        <v>4000</v>
      </c>
      <c r="C17" s="25">
        <v>2000</v>
      </c>
      <c r="D17" s="26">
        <v>0</v>
      </c>
      <c r="E17" s="26">
        <v>0</v>
      </c>
      <c r="F17" s="26"/>
      <c r="G17" s="26">
        <v>0</v>
      </c>
      <c r="H17" s="26">
        <v>0</v>
      </c>
      <c r="I17" s="26">
        <v>0</v>
      </c>
      <c r="J17" s="26">
        <v>5000</v>
      </c>
      <c r="K17" s="26">
        <v>0</v>
      </c>
      <c r="L17" s="26">
        <v>0</v>
      </c>
      <c r="M17" s="113">
        <v>0</v>
      </c>
      <c r="N17" s="8">
        <v>7</v>
      </c>
      <c r="O17" s="112">
        <v>0</v>
      </c>
      <c r="P17" s="26">
        <v>1000</v>
      </c>
      <c r="Q17" s="26">
        <v>0</v>
      </c>
      <c r="R17" s="26">
        <v>30</v>
      </c>
      <c r="S17" s="26">
        <v>0</v>
      </c>
      <c r="T17" s="26">
        <v>0</v>
      </c>
      <c r="U17" s="25">
        <v>1000</v>
      </c>
      <c r="V17" s="76">
        <v>0</v>
      </c>
      <c r="W17" s="78">
        <v>0</v>
      </c>
      <c r="X17" s="26">
        <v>0</v>
      </c>
      <c r="Y17" s="26">
        <v>0</v>
      </c>
      <c r="Z17" s="113"/>
      <c r="AB17" s="10">
        <f t="shared" si="0"/>
        <v>11000</v>
      </c>
      <c r="AC17" s="34">
        <f t="shared" si="12"/>
        <v>2030</v>
      </c>
      <c r="AD17" s="10">
        <f t="shared" si="1"/>
        <v>13030</v>
      </c>
      <c r="AE17" s="72">
        <f t="shared" si="2"/>
        <v>84.420567920184197</v>
      </c>
      <c r="AF17" s="72">
        <f t="shared" si="3"/>
        <v>15.57943207981581</v>
      </c>
      <c r="AH17" s="70">
        <f t="shared" si="4"/>
        <v>8421.3984000000019</v>
      </c>
      <c r="AI17" s="17">
        <f t="shared" si="5"/>
        <v>0.1222263918722787</v>
      </c>
      <c r="AJ17" s="17">
        <f t="shared" si="6"/>
        <v>2.6565925552050479E-2</v>
      </c>
      <c r="AL17" s="102">
        <f t="shared" si="7"/>
        <v>7952.950261560075</v>
      </c>
      <c r="AM17" s="102">
        <f t="shared" si="8"/>
        <v>468.44813843992512</v>
      </c>
      <c r="AN17" s="46">
        <f t="shared" si="9"/>
        <v>16.977226738579471</v>
      </c>
      <c r="AO17" s="68">
        <v>1</v>
      </c>
      <c r="AQ17" s="18">
        <f t="shared" si="10"/>
        <v>1996.6372864694401</v>
      </c>
      <c r="AR17" s="18">
        <f t="shared" si="11"/>
        <v>4648.1716029008567</v>
      </c>
      <c r="AU17" s="40"/>
    </row>
    <row r="18" spans="1:47">
      <c r="A18">
        <v>8</v>
      </c>
      <c r="B18" s="24">
        <v>4000</v>
      </c>
      <c r="C18" s="25">
        <v>2000</v>
      </c>
      <c r="D18" s="26">
        <v>0</v>
      </c>
      <c r="E18" s="26">
        <v>0</v>
      </c>
      <c r="F18" s="26"/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113">
        <v>0</v>
      </c>
      <c r="N18" s="8">
        <v>8</v>
      </c>
      <c r="O18" s="112">
        <f>600+4000</f>
        <v>4600</v>
      </c>
      <c r="P18" s="26">
        <v>1000</v>
      </c>
      <c r="Q18" s="26">
        <v>0</v>
      </c>
      <c r="R18" s="26">
        <v>30</v>
      </c>
      <c r="S18" s="26">
        <v>0</v>
      </c>
      <c r="T18" s="26">
        <v>0</v>
      </c>
      <c r="U18" s="25">
        <f>1000</f>
        <v>1000</v>
      </c>
      <c r="V18" s="26">
        <v>20</v>
      </c>
      <c r="W18" s="78">
        <v>0</v>
      </c>
      <c r="X18" s="26">
        <v>0</v>
      </c>
      <c r="Y18" s="26">
        <v>0</v>
      </c>
      <c r="Z18" s="113"/>
      <c r="AB18" s="10">
        <f t="shared" si="0"/>
        <v>6000</v>
      </c>
      <c r="AC18" s="34">
        <f t="shared" si="12"/>
        <v>7350</v>
      </c>
      <c r="AD18" s="10">
        <f t="shared" si="1"/>
        <v>13350</v>
      </c>
      <c r="AE18" s="72">
        <f t="shared" si="2"/>
        <v>44.943820224719104</v>
      </c>
      <c r="AF18" s="72">
        <f t="shared" si="3"/>
        <v>55.056179775280896</v>
      </c>
      <c r="AH18" s="70">
        <f t="shared" si="4"/>
        <v>10803.0522</v>
      </c>
      <c r="AI18" s="17">
        <f t="shared" si="5"/>
        <v>0.15679321044992744</v>
      </c>
      <c r="AJ18" s="17">
        <f t="shared" si="6"/>
        <v>3.4079029022082021E-2</v>
      </c>
      <c r="AL18" s="102">
        <f t="shared" si="7"/>
        <v>10244.539789745404</v>
      </c>
      <c r="AM18" s="102">
        <f t="shared" si="8"/>
        <v>558.51241025459694</v>
      </c>
      <c r="AN18" s="46">
        <f t="shared" si="9"/>
        <v>18.342546381512719</v>
      </c>
      <c r="AO18" s="68">
        <v>1</v>
      </c>
      <c r="AQ18" s="18">
        <f t="shared" si="10"/>
        <v>2416.8860107046403</v>
      </c>
      <c r="AR18" s="18">
        <f t="shared" si="11"/>
        <v>5626.5106329204027</v>
      </c>
      <c r="AU18" s="40"/>
    </row>
    <row r="19" spans="1:47">
      <c r="A19">
        <v>9</v>
      </c>
      <c r="B19" s="24">
        <v>4000</v>
      </c>
      <c r="C19" s="25">
        <v>2000</v>
      </c>
      <c r="D19" s="26">
        <f>9*120</f>
        <v>1080</v>
      </c>
      <c r="E19" s="26">
        <v>0</v>
      </c>
      <c r="F19" s="26"/>
      <c r="G19" s="26">
        <v>0</v>
      </c>
      <c r="H19" s="26">
        <v>0</v>
      </c>
      <c r="I19" s="26">
        <v>0</v>
      </c>
      <c r="J19" s="26">
        <v>4000</v>
      </c>
      <c r="K19" s="26">
        <v>0</v>
      </c>
      <c r="L19" s="26">
        <v>0</v>
      </c>
      <c r="M19" s="113">
        <v>0</v>
      </c>
      <c r="N19" s="8">
        <v>9</v>
      </c>
      <c r="O19" s="112">
        <v>900</v>
      </c>
      <c r="P19" s="26">
        <v>100</v>
      </c>
      <c r="Q19" s="26">
        <v>0</v>
      </c>
      <c r="R19" s="26">
        <v>30</v>
      </c>
      <c r="S19" s="26">
        <v>0</v>
      </c>
      <c r="T19" s="26">
        <v>0</v>
      </c>
      <c r="U19" s="25">
        <v>1000</v>
      </c>
      <c r="V19" s="52">
        <v>0</v>
      </c>
      <c r="W19" s="78">
        <v>0</v>
      </c>
      <c r="X19" s="26">
        <v>0</v>
      </c>
      <c r="Y19" s="26">
        <v>0</v>
      </c>
      <c r="Z19" s="113"/>
      <c r="AB19" s="10">
        <f t="shared" si="0"/>
        <v>11080</v>
      </c>
      <c r="AC19" s="34">
        <f t="shared" si="12"/>
        <v>2030</v>
      </c>
      <c r="AD19" s="10">
        <f t="shared" si="1"/>
        <v>13110</v>
      </c>
      <c r="AE19" s="72">
        <f t="shared" si="2"/>
        <v>84.51563691838291</v>
      </c>
      <c r="AF19" s="72">
        <f t="shared" si="3"/>
        <v>15.484363081617087</v>
      </c>
      <c r="AH19" s="70">
        <f t="shared" si="4"/>
        <v>6867.8565600000011</v>
      </c>
      <c r="AI19" s="17">
        <f t="shared" si="5"/>
        <v>9.967861480406387E-2</v>
      </c>
      <c r="AJ19" s="17">
        <f t="shared" si="6"/>
        <v>2.1665162649842275E-2</v>
      </c>
      <c r="AL19" s="102">
        <f t="shared" si="7"/>
        <v>6352.6971671405645</v>
      </c>
      <c r="AM19" s="102">
        <f t="shared" si="8"/>
        <v>515.15939285943659</v>
      </c>
      <c r="AN19" s="46">
        <f t="shared" si="9"/>
        <v>12.331517691795099</v>
      </c>
      <c r="AO19" s="68">
        <v>1</v>
      </c>
      <c r="AQ19" s="18">
        <f t="shared" si="10"/>
        <v>1084.1607532410242</v>
      </c>
      <c r="AR19" s="18">
        <f t="shared" si="11"/>
        <v>2523.926233545104</v>
      </c>
      <c r="AU19" s="40"/>
    </row>
    <row r="20" spans="1:47">
      <c r="A20">
        <v>10</v>
      </c>
      <c r="B20" s="24">
        <v>4000</v>
      </c>
      <c r="C20" s="25">
        <v>2000</v>
      </c>
      <c r="D20" s="26">
        <v>0</v>
      </c>
      <c r="E20" s="26">
        <v>0</v>
      </c>
      <c r="F20" s="26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113">
        <v>0</v>
      </c>
      <c r="N20" s="8">
        <v>10</v>
      </c>
      <c r="O20" s="112">
        <v>900</v>
      </c>
      <c r="P20" s="26">
        <v>0</v>
      </c>
      <c r="Q20" s="26">
        <v>0</v>
      </c>
      <c r="R20" s="26">
        <v>30</v>
      </c>
      <c r="S20" s="26">
        <v>0</v>
      </c>
      <c r="T20" s="26">
        <v>0</v>
      </c>
      <c r="U20" s="25">
        <v>2000</v>
      </c>
      <c r="V20" s="52">
        <v>0</v>
      </c>
      <c r="W20" s="25">
        <v>325</v>
      </c>
      <c r="X20" s="26">
        <v>0</v>
      </c>
      <c r="Y20" s="26">
        <v>0</v>
      </c>
      <c r="Z20" s="113"/>
      <c r="AB20" s="10">
        <f t="shared" si="0"/>
        <v>6000</v>
      </c>
      <c r="AC20" s="34">
        <f t="shared" si="12"/>
        <v>3255</v>
      </c>
      <c r="AD20" s="10">
        <f t="shared" si="1"/>
        <v>9255</v>
      </c>
      <c r="AE20" s="72">
        <f t="shared" si="2"/>
        <v>64.829821717990271</v>
      </c>
      <c r="AF20" s="72">
        <f t="shared" si="3"/>
        <v>35.170178282009722</v>
      </c>
      <c r="AH20" s="70">
        <f t="shared" si="4"/>
        <v>4925.1036000000004</v>
      </c>
      <c r="AI20" s="17">
        <f t="shared" si="5"/>
        <v>7.1481910014513789E-2</v>
      </c>
      <c r="AJ20" s="17">
        <f t="shared" si="6"/>
        <v>1.5536604416403787E-2</v>
      </c>
      <c r="AL20" s="102">
        <f t="shared" si="7"/>
        <v>4648.2999928571435</v>
      </c>
      <c r="AM20" s="102">
        <f t="shared" si="8"/>
        <v>276.80360714285717</v>
      </c>
      <c r="AN20" s="46">
        <f t="shared" si="9"/>
        <v>16.792772467225021</v>
      </c>
      <c r="AO20" s="68">
        <v>1</v>
      </c>
      <c r="AQ20" s="7">
        <f t="shared" si="10"/>
        <v>988.15005406608009</v>
      </c>
      <c r="AR20" s="7">
        <f t="shared" si="11"/>
        <v>2300.4133258658344</v>
      </c>
      <c r="AU20" s="40"/>
    </row>
    <row r="21" spans="1:47" s="35" customFormat="1">
      <c r="A21" s="35">
        <v>11</v>
      </c>
      <c r="B21" s="24">
        <v>4000</v>
      </c>
      <c r="C21" s="25">
        <v>2000</v>
      </c>
      <c r="D21" s="26">
        <v>0</v>
      </c>
      <c r="E21" s="26">
        <v>0</v>
      </c>
      <c r="F21" s="26"/>
      <c r="G21" s="26">
        <v>0</v>
      </c>
      <c r="H21" s="26">
        <v>0</v>
      </c>
      <c r="I21" s="26">
        <v>0</v>
      </c>
      <c r="J21" s="26">
        <f>4000+3000</f>
        <v>7000</v>
      </c>
      <c r="K21" s="26">
        <v>0</v>
      </c>
      <c r="L21" s="26">
        <v>0</v>
      </c>
      <c r="M21" s="113">
        <v>0</v>
      </c>
      <c r="N21" s="53">
        <v>11</v>
      </c>
      <c r="O21" s="112">
        <v>900</v>
      </c>
      <c r="P21" s="26">
        <v>0</v>
      </c>
      <c r="Q21" s="26">
        <v>0</v>
      </c>
      <c r="R21" s="26">
        <v>30</v>
      </c>
      <c r="S21" s="26">
        <v>0</v>
      </c>
      <c r="T21" s="26">
        <v>0</v>
      </c>
      <c r="U21" s="78">
        <v>0</v>
      </c>
      <c r="V21" s="26">
        <v>25</v>
      </c>
      <c r="W21" s="25">
        <v>325</v>
      </c>
      <c r="X21" s="26">
        <v>0</v>
      </c>
      <c r="Y21" s="26">
        <v>0</v>
      </c>
      <c r="Z21" s="113"/>
      <c r="AB21" s="34">
        <f t="shared" si="0"/>
        <v>13000</v>
      </c>
      <c r="AC21" s="34">
        <f t="shared" si="12"/>
        <v>2155</v>
      </c>
      <c r="AD21" s="34">
        <f t="shared" si="1"/>
        <v>15155</v>
      </c>
      <c r="AE21" s="73">
        <f t="shared" si="2"/>
        <v>85.780270537776317</v>
      </c>
      <c r="AF21" s="73">
        <f t="shared" si="3"/>
        <v>14.219729462223688</v>
      </c>
      <c r="AH21" s="71">
        <f t="shared" si="4"/>
        <v>6855.0129600000009</v>
      </c>
      <c r="AI21" s="54">
        <f t="shared" si="5"/>
        <v>9.949220551523949E-2</v>
      </c>
      <c r="AJ21" s="54">
        <f t="shared" si="6"/>
        <v>2.1624646561514197E-2</v>
      </c>
      <c r="AL21" s="103">
        <f t="shared" si="7"/>
        <v>6206.5578076833981</v>
      </c>
      <c r="AM21" s="103">
        <f t="shared" si="8"/>
        <v>648.45515231660227</v>
      </c>
      <c r="AN21" s="46">
        <f t="shared" si="9"/>
        <v>9.5712984706968651</v>
      </c>
      <c r="AO21" s="69">
        <v>1</v>
      </c>
      <c r="AQ21" s="36">
        <f t="shared" si="10"/>
        <v>635.95673129808006</v>
      </c>
      <c r="AR21" s="36">
        <f t="shared" si="11"/>
        <v>1480.5072704619304</v>
      </c>
      <c r="AU21" s="55"/>
    </row>
    <row r="22" spans="1:47" s="35" customFormat="1">
      <c r="A22" s="35">
        <v>12</v>
      </c>
      <c r="B22" s="24">
        <v>4000</v>
      </c>
      <c r="C22" s="25">
        <v>2000</v>
      </c>
      <c r="D22" s="26">
        <f>8*120</f>
        <v>960</v>
      </c>
      <c r="E22" s="26">
        <v>0</v>
      </c>
      <c r="F22" s="26"/>
      <c r="G22" s="26">
        <v>0</v>
      </c>
      <c r="H22" s="26">
        <v>0</v>
      </c>
      <c r="I22" s="26">
        <v>0</v>
      </c>
      <c r="J22" s="26">
        <f>4000+4000</f>
        <v>8000</v>
      </c>
      <c r="K22" s="26">
        <v>0</v>
      </c>
      <c r="L22" s="26">
        <v>0</v>
      </c>
      <c r="M22" s="113">
        <v>0</v>
      </c>
      <c r="N22" s="53">
        <v>12</v>
      </c>
      <c r="O22" s="112">
        <f>425+4000</f>
        <v>4425</v>
      </c>
      <c r="P22" s="26">
        <v>1000</v>
      </c>
      <c r="Q22" s="26">
        <v>0</v>
      </c>
      <c r="R22" s="26">
        <v>30</v>
      </c>
      <c r="S22" s="26">
        <v>0</v>
      </c>
      <c r="T22" s="26">
        <v>0</v>
      </c>
      <c r="U22" s="25">
        <v>1000</v>
      </c>
      <c r="V22" s="52">
        <v>0</v>
      </c>
      <c r="W22" s="78">
        <v>0</v>
      </c>
      <c r="X22" s="26">
        <v>0</v>
      </c>
      <c r="Y22" s="26">
        <v>0</v>
      </c>
      <c r="Z22" s="113"/>
      <c r="AB22" s="34">
        <f t="shared" si="0"/>
        <v>14960</v>
      </c>
      <c r="AC22" s="34">
        <f t="shared" si="12"/>
        <v>6455</v>
      </c>
      <c r="AD22" s="34">
        <f t="shared" si="1"/>
        <v>21415</v>
      </c>
      <c r="AE22" s="73">
        <f t="shared" si="2"/>
        <v>69.857576465094553</v>
      </c>
      <c r="AF22" s="73">
        <f t="shared" si="3"/>
        <v>30.14242353490544</v>
      </c>
      <c r="AH22" s="71">
        <f t="shared" si="4"/>
        <v>12171.108270000001</v>
      </c>
      <c r="AI22" s="54">
        <f t="shared" si="5"/>
        <v>0.17664888635703921</v>
      </c>
      <c r="AJ22" s="54">
        <f t="shared" si="6"/>
        <v>3.8394663312302839E-2</v>
      </c>
      <c r="AL22" s="103">
        <f t="shared" si="7"/>
        <v>11234.448490363166</v>
      </c>
      <c r="AM22" s="103">
        <f t="shared" si="8"/>
        <v>936.65977963683622</v>
      </c>
      <c r="AN22" s="46">
        <f t="shared" si="9"/>
        <v>11.994161310864667</v>
      </c>
      <c r="AO22" s="69">
        <v>1</v>
      </c>
      <c r="AQ22" s="36">
        <f t="shared" si="10"/>
        <v>2595.318080765448</v>
      </c>
      <c r="AR22" s="36">
        <f t="shared" si="11"/>
        <v>6041.9004920219631</v>
      </c>
      <c r="AU22" s="55"/>
    </row>
    <row r="23" spans="1:47" s="35" customFormat="1">
      <c r="A23" s="35">
        <v>13</v>
      </c>
      <c r="B23" s="24">
        <v>4000</v>
      </c>
      <c r="C23" s="25">
        <v>2000</v>
      </c>
      <c r="D23" s="26">
        <v>0</v>
      </c>
      <c r="E23" s="26">
        <v>0</v>
      </c>
      <c r="F23" s="26"/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113">
        <v>0</v>
      </c>
      <c r="N23" s="53">
        <v>13</v>
      </c>
      <c r="O23" s="112">
        <v>0</v>
      </c>
      <c r="P23" s="26">
        <v>1000</v>
      </c>
      <c r="Q23" s="26">
        <v>0</v>
      </c>
      <c r="R23" s="26">
        <v>30</v>
      </c>
      <c r="S23" s="26">
        <v>0</v>
      </c>
      <c r="T23" s="26">
        <v>0</v>
      </c>
      <c r="U23" s="25">
        <v>1000</v>
      </c>
      <c r="V23" s="52">
        <v>0</v>
      </c>
      <c r="W23" s="78">
        <v>0</v>
      </c>
      <c r="X23" s="26">
        <v>0</v>
      </c>
      <c r="Y23" s="26">
        <v>0</v>
      </c>
      <c r="Z23" s="113"/>
      <c r="AB23" s="34">
        <f t="shared" si="0"/>
        <v>6000</v>
      </c>
      <c r="AC23" s="34">
        <f t="shared" si="12"/>
        <v>2030</v>
      </c>
      <c r="AD23" s="34">
        <f t="shared" si="1"/>
        <v>8030</v>
      </c>
      <c r="AE23" s="73">
        <f t="shared" si="2"/>
        <v>74.719800747198008</v>
      </c>
      <c r="AF23" s="73">
        <f t="shared" si="3"/>
        <v>25.280199252801992</v>
      </c>
      <c r="AH23" s="71">
        <f t="shared" si="4"/>
        <v>7523.9309999999996</v>
      </c>
      <c r="AI23" s="54">
        <f t="shared" si="5"/>
        <v>0.10920074020319302</v>
      </c>
      <c r="AJ23" s="54">
        <f t="shared" si="6"/>
        <v>2.3734798107255518E-2</v>
      </c>
      <c r="AL23" s="103">
        <f t="shared" si="7"/>
        <v>7298.0416183168318</v>
      </c>
      <c r="AM23" s="103">
        <f t="shared" si="8"/>
        <v>225.88938168316835</v>
      </c>
      <c r="AN23" s="46">
        <f t="shared" si="9"/>
        <v>32.308033090962368</v>
      </c>
      <c r="AO23" s="69">
        <v>1</v>
      </c>
      <c r="AQ23" s="36">
        <f t="shared" si="10"/>
        <v>1996.6372864694401</v>
      </c>
      <c r="AR23" s="36">
        <f t="shared" si="11"/>
        <v>4648.1716029008567</v>
      </c>
      <c r="AU23" s="55"/>
    </row>
    <row r="24" spans="1:47" s="35" customFormat="1">
      <c r="A24" s="35">
        <v>14</v>
      </c>
      <c r="B24" s="24">
        <v>0</v>
      </c>
      <c r="C24" s="25">
        <v>2000</v>
      </c>
      <c r="D24" s="26">
        <v>0</v>
      </c>
      <c r="E24" s="26">
        <v>0</v>
      </c>
      <c r="F24" s="26"/>
      <c r="G24" s="26">
        <v>0</v>
      </c>
      <c r="H24" s="26">
        <v>0</v>
      </c>
      <c r="I24" s="26">
        <v>0</v>
      </c>
      <c r="J24" s="26">
        <f>5000+3000</f>
        <v>8000</v>
      </c>
      <c r="K24" s="26">
        <v>0</v>
      </c>
      <c r="L24" s="26">
        <v>0</v>
      </c>
      <c r="M24" s="113">
        <v>0</v>
      </c>
      <c r="N24" s="53">
        <v>14</v>
      </c>
      <c r="O24" s="112">
        <v>0</v>
      </c>
      <c r="P24" s="26">
        <v>1000</v>
      </c>
      <c r="Q24" s="26">
        <v>0</v>
      </c>
      <c r="R24" s="26">
        <v>35</v>
      </c>
      <c r="S24" s="26">
        <v>0</v>
      </c>
      <c r="T24" s="26">
        <v>0</v>
      </c>
      <c r="U24" s="25">
        <v>1000</v>
      </c>
      <c r="V24" s="52">
        <v>0</v>
      </c>
      <c r="W24" s="78">
        <v>0</v>
      </c>
      <c r="X24" s="26">
        <v>0</v>
      </c>
      <c r="Y24" s="26">
        <v>0</v>
      </c>
      <c r="Z24" s="113"/>
      <c r="AB24" s="34">
        <f t="shared" si="0"/>
        <v>10000</v>
      </c>
      <c r="AC24" s="34">
        <f t="shared" si="12"/>
        <v>2035</v>
      </c>
      <c r="AD24" s="34">
        <f t="shared" si="1"/>
        <v>12035</v>
      </c>
      <c r="AE24" s="73">
        <f t="shared" si="2"/>
        <v>83.090984628167845</v>
      </c>
      <c r="AF24" s="73">
        <f t="shared" si="3"/>
        <v>16.909015371832155</v>
      </c>
      <c r="AH24" s="71">
        <f t="shared" si="4"/>
        <v>6790.6448399999999</v>
      </c>
      <c r="AI24" s="54">
        <f t="shared" si="5"/>
        <v>9.8557980261248179E-2</v>
      </c>
      <c r="AJ24" s="54">
        <f t="shared" si="6"/>
        <v>2.1421592555205048E-2</v>
      </c>
      <c r="AL24" s="103">
        <f t="shared" si="7"/>
        <v>6285.1231475060204</v>
      </c>
      <c r="AM24" s="103">
        <f t="shared" si="8"/>
        <v>505.52169249397917</v>
      </c>
      <c r="AN24" s="46">
        <f t="shared" si="9"/>
        <v>12.432944502338794</v>
      </c>
      <c r="AO24" s="69">
        <v>1</v>
      </c>
      <c r="AQ24" s="36">
        <f t="shared" si="10"/>
        <v>1681.7741861404802</v>
      </c>
      <c r="AR24" s="36">
        <f t="shared" si="11"/>
        <v>3915.1703053350379</v>
      </c>
      <c r="AU24" s="55"/>
    </row>
    <row r="25" spans="1:47" s="35" customFormat="1">
      <c r="A25" s="35">
        <v>15</v>
      </c>
      <c r="B25" s="24">
        <v>4000</v>
      </c>
      <c r="C25" s="25">
        <v>2000</v>
      </c>
      <c r="D25" s="26">
        <v>0</v>
      </c>
      <c r="E25" s="26">
        <v>0</v>
      </c>
      <c r="F25" s="26"/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13">
        <v>0</v>
      </c>
      <c r="N25" s="53">
        <v>15</v>
      </c>
      <c r="O25" s="112">
        <f>300+4000</f>
        <v>4300</v>
      </c>
      <c r="P25" s="26">
        <v>1000</v>
      </c>
      <c r="Q25" s="26">
        <v>0</v>
      </c>
      <c r="R25" s="26">
        <v>30</v>
      </c>
      <c r="S25" s="26">
        <v>0</v>
      </c>
      <c r="T25" s="26">
        <v>0</v>
      </c>
      <c r="U25" s="25">
        <v>1000</v>
      </c>
      <c r="V25" s="52">
        <v>0</v>
      </c>
      <c r="W25" s="78">
        <v>0</v>
      </c>
      <c r="X25" s="26">
        <v>0</v>
      </c>
      <c r="Y25" s="26">
        <v>0</v>
      </c>
      <c r="Z25" s="113"/>
      <c r="AB25" s="34">
        <f t="shared" si="0"/>
        <v>6000</v>
      </c>
      <c r="AC25" s="34">
        <f t="shared" si="12"/>
        <v>6330</v>
      </c>
      <c r="AD25" s="34">
        <f t="shared" si="1"/>
        <v>12330</v>
      </c>
      <c r="AE25" s="73">
        <f t="shared" si="2"/>
        <v>48.661800486618006</v>
      </c>
      <c r="AF25" s="73">
        <f t="shared" si="3"/>
        <v>51.338199513381994</v>
      </c>
      <c r="AH25" s="71">
        <f t="shared" si="4"/>
        <v>9256.0656000000017</v>
      </c>
      <c r="AI25" s="54">
        <f t="shared" si="5"/>
        <v>0.13434057474600875</v>
      </c>
      <c r="AJ25" s="54">
        <f t="shared" si="6"/>
        <v>2.9198945110410102E-2</v>
      </c>
      <c r="AL25" s="103">
        <f t="shared" si="7"/>
        <v>8782.7284183168322</v>
      </c>
      <c r="AM25" s="103">
        <f t="shared" si="8"/>
        <v>473.33718168316835</v>
      </c>
      <c r="AN25" s="46">
        <f t="shared" si="9"/>
        <v>18.554909181412278</v>
      </c>
      <c r="AO25" s="69">
        <v>1</v>
      </c>
      <c r="AQ25" s="36">
        <f t="shared" si="10"/>
        <v>2389.4784852110402</v>
      </c>
      <c r="AR25" s="36">
        <f t="shared" si="11"/>
        <v>5562.7059135713016</v>
      </c>
      <c r="AU25" s="55"/>
    </row>
    <row r="26" spans="1:47" s="35" customFormat="1">
      <c r="A26" s="35">
        <v>16</v>
      </c>
      <c r="B26" s="24">
        <v>4000</v>
      </c>
      <c r="C26" s="25">
        <v>2000</v>
      </c>
      <c r="D26" s="26">
        <v>0</v>
      </c>
      <c r="E26" s="26">
        <v>0</v>
      </c>
      <c r="F26" s="26"/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113">
        <v>0</v>
      </c>
      <c r="N26" s="53">
        <v>16</v>
      </c>
      <c r="O26" s="112">
        <v>900</v>
      </c>
      <c r="P26" s="26">
        <v>1500</v>
      </c>
      <c r="Q26" s="26">
        <v>0</v>
      </c>
      <c r="R26" s="26">
        <v>30</v>
      </c>
      <c r="S26" s="26">
        <v>0</v>
      </c>
      <c r="T26" s="26">
        <v>0</v>
      </c>
      <c r="U26" s="25">
        <v>1000</v>
      </c>
      <c r="V26" s="26">
        <v>13</v>
      </c>
      <c r="W26" s="25">
        <f>325*3</f>
        <v>975</v>
      </c>
      <c r="X26" s="26">
        <v>0</v>
      </c>
      <c r="Y26" s="26">
        <v>0</v>
      </c>
      <c r="Z26" s="113"/>
      <c r="AB26" s="34">
        <f t="shared" si="0"/>
        <v>6000</v>
      </c>
      <c r="AC26" s="34">
        <f t="shared" si="12"/>
        <v>4873</v>
      </c>
      <c r="AD26" s="34">
        <f t="shared" si="1"/>
        <v>10873</v>
      </c>
      <c r="AE26" s="73">
        <f t="shared" si="2"/>
        <v>55.18256231030994</v>
      </c>
      <c r="AF26" s="73">
        <f t="shared" si="3"/>
        <v>44.81743768969006</v>
      </c>
      <c r="AH26" s="71">
        <f t="shared" si="4"/>
        <v>11269.675200000001</v>
      </c>
      <c r="AI26" s="54">
        <f t="shared" si="5"/>
        <v>0.16356567779390424</v>
      </c>
      <c r="AJ26" s="54">
        <f t="shared" si="6"/>
        <v>3.5551025867507892E-2</v>
      </c>
      <c r="AL26" s="103">
        <f t="shared" si="7"/>
        <v>10900.959602475248</v>
      </c>
      <c r="AM26" s="103">
        <f t="shared" si="8"/>
        <v>368.71559752475258</v>
      </c>
      <c r="AN26" s="46">
        <f t="shared" si="9"/>
        <v>29.564682578266698</v>
      </c>
      <c r="AO26" s="69">
        <v>1</v>
      </c>
      <c r="AQ26" s="36">
        <f t="shared" si="10"/>
        <v>2997.3013632177599</v>
      </c>
      <c r="AR26" s="36">
        <f t="shared" si="11"/>
        <v>6977.7175735709443</v>
      </c>
      <c r="AU26" s="55"/>
    </row>
    <row r="27" spans="1:47" s="35" customFormat="1">
      <c r="A27" s="35">
        <v>17</v>
      </c>
      <c r="B27" s="24">
        <v>4000</v>
      </c>
      <c r="C27" s="25">
        <v>2000</v>
      </c>
      <c r="D27" s="26">
        <f>10*120</f>
        <v>1200</v>
      </c>
      <c r="E27" s="26">
        <v>0</v>
      </c>
      <c r="F27" s="26"/>
      <c r="G27" s="26">
        <v>0</v>
      </c>
      <c r="H27" s="26">
        <v>0</v>
      </c>
      <c r="I27" s="26">
        <v>0</v>
      </c>
      <c r="J27" s="26">
        <v>4000</v>
      </c>
      <c r="K27" s="26">
        <v>0</v>
      </c>
      <c r="L27" s="26">
        <v>0</v>
      </c>
      <c r="M27" s="113">
        <v>0</v>
      </c>
      <c r="N27" s="53">
        <v>17</v>
      </c>
      <c r="O27" s="112">
        <v>1000</v>
      </c>
      <c r="P27" s="26">
        <v>0</v>
      </c>
      <c r="Q27" s="26">
        <v>0</v>
      </c>
      <c r="R27" s="26">
        <v>30</v>
      </c>
      <c r="S27" s="26">
        <v>0</v>
      </c>
      <c r="T27" s="26">
        <v>0</v>
      </c>
      <c r="U27" s="25">
        <v>2000</v>
      </c>
      <c r="V27" s="52">
        <v>0</v>
      </c>
      <c r="W27" s="78">
        <v>0</v>
      </c>
      <c r="X27" s="26">
        <v>0</v>
      </c>
      <c r="Y27" s="26">
        <v>0</v>
      </c>
      <c r="Z27" s="113"/>
      <c r="AB27" s="34">
        <f t="shared" si="0"/>
        <v>11200</v>
      </c>
      <c r="AC27" s="34">
        <f t="shared" si="12"/>
        <v>3030</v>
      </c>
      <c r="AD27" s="34">
        <f t="shared" si="1"/>
        <v>14230</v>
      </c>
      <c r="AE27" s="73">
        <f t="shared" si="2"/>
        <v>78.70695713281799</v>
      </c>
      <c r="AF27" s="73">
        <f t="shared" si="3"/>
        <v>21.29304286718201</v>
      </c>
      <c r="AH27" s="71">
        <f t="shared" si="4"/>
        <v>7269.7945200000013</v>
      </c>
      <c r="AI27" s="54">
        <f t="shared" si="5"/>
        <v>0.10551225718432512</v>
      </c>
      <c r="AJ27" s="54">
        <f t="shared" si="6"/>
        <v>2.2933105741324924E-2</v>
      </c>
      <c r="AL27" s="103">
        <f t="shared" si="7"/>
        <v>6717.6447931660241</v>
      </c>
      <c r="AM27" s="103">
        <f t="shared" si="8"/>
        <v>552.14972683397684</v>
      </c>
      <c r="AN27" s="46">
        <f t="shared" si="9"/>
        <v>12.166346312774541</v>
      </c>
      <c r="AO27" s="69">
        <v>1</v>
      </c>
      <c r="AQ27" s="36">
        <f t="shared" si="10"/>
        <v>1158.8711331552001</v>
      </c>
      <c r="AR27" s="36">
        <f t="shared" si="11"/>
        <v>2697.8519979853058</v>
      </c>
      <c r="AU27" s="55"/>
    </row>
    <row r="28" spans="1:47">
      <c r="A28">
        <v>18</v>
      </c>
      <c r="B28" s="24">
        <v>4000</v>
      </c>
      <c r="C28" s="25">
        <v>2000</v>
      </c>
      <c r="D28" s="26">
        <f>4*120</f>
        <v>480</v>
      </c>
      <c r="E28" s="26">
        <v>0</v>
      </c>
      <c r="F28" s="26"/>
      <c r="G28" s="26">
        <v>0</v>
      </c>
      <c r="H28" s="26">
        <v>0</v>
      </c>
      <c r="I28" s="26">
        <v>0</v>
      </c>
      <c r="J28" s="26">
        <v>4000</v>
      </c>
      <c r="K28" s="26">
        <v>0</v>
      </c>
      <c r="L28" s="26">
        <v>0</v>
      </c>
      <c r="M28" s="113">
        <v>0</v>
      </c>
      <c r="N28" s="8">
        <v>18</v>
      </c>
      <c r="O28" s="112">
        <v>900</v>
      </c>
      <c r="P28" s="26">
        <v>0</v>
      </c>
      <c r="Q28" s="26">
        <v>0</v>
      </c>
      <c r="R28" s="26">
        <v>30</v>
      </c>
      <c r="S28" s="26">
        <v>0</v>
      </c>
      <c r="T28" s="26">
        <v>0</v>
      </c>
      <c r="U28" s="25">
        <f>2000</f>
        <v>2000</v>
      </c>
      <c r="V28" s="26">
        <v>15</v>
      </c>
      <c r="W28" s="25">
        <f>3*325</f>
        <v>975</v>
      </c>
      <c r="X28" s="26">
        <v>0</v>
      </c>
      <c r="Y28" s="26">
        <v>0</v>
      </c>
      <c r="Z28" s="113"/>
      <c r="AB28" s="10">
        <f t="shared" si="0"/>
        <v>10480</v>
      </c>
      <c r="AC28" s="34">
        <f t="shared" si="12"/>
        <v>4445</v>
      </c>
      <c r="AD28" s="10">
        <f t="shared" si="1"/>
        <v>14925</v>
      </c>
      <c r="AE28" s="72">
        <f t="shared" si="2"/>
        <v>70.217755443886091</v>
      </c>
      <c r="AF28" s="72">
        <f t="shared" si="3"/>
        <v>29.782244556113902</v>
      </c>
      <c r="AH28" s="70">
        <f t="shared" si="4"/>
        <v>7826.0391600000021</v>
      </c>
      <c r="AI28" s="17">
        <f t="shared" si="5"/>
        <v>0.11358547402031934</v>
      </c>
      <c r="AJ28" s="17">
        <f t="shared" si="6"/>
        <v>2.4687820694006317E-2</v>
      </c>
      <c r="AL28" s="102">
        <f t="shared" si="7"/>
        <v>7251.2379931660244</v>
      </c>
      <c r="AM28" s="102">
        <f t="shared" si="8"/>
        <v>574.80116683397682</v>
      </c>
      <c r="AN28" s="46">
        <f t="shared" si="9"/>
        <v>12.615210983488559</v>
      </c>
      <c r="AO28" s="68">
        <v>1</v>
      </c>
      <c r="AQ28" s="7">
        <f t="shared" si="10"/>
        <v>1248.2389593464641</v>
      </c>
      <c r="AR28" s="7">
        <f t="shared" si="11"/>
        <v>2905.9002973585684</v>
      </c>
      <c r="AU28" s="40"/>
    </row>
    <row r="29" spans="1:47">
      <c r="A29">
        <v>19</v>
      </c>
      <c r="B29" s="24">
        <v>4000</v>
      </c>
      <c r="C29" s="25">
        <v>2000</v>
      </c>
      <c r="D29" s="26">
        <v>0</v>
      </c>
      <c r="E29" s="26">
        <v>0</v>
      </c>
      <c r="F29" s="26"/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13">
        <v>0</v>
      </c>
      <c r="N29" s="8">
        <v>19</v>
      </c>
      <c r="O29" s="112">
        <f>900+4000</f>
        <v>4900</v>
      </c>
      <c r="P29" s="26">
        <f>1000+1000</f>
        <v>2000</v>
      </c>
      <c r="Q29" s="26">
        <v>0</v>
      </c>
      <c r="R29" s="26">
        <v>0</v>
      </c>
      <c r="S29" s="26">
        <v>0</v>
      </c>
      <c r="T29" s="26">
        <v>0</v>
      </c>
      <c r="U29" s="25">
        <v>1000</v>
      </c>
      <c r="V29" s="52">
        <v>0</v>
      </c>
      <c r="W29" s="78">
        <v>0</v>
      </c>
      <c r="X29" s="26">
        <v>0</v>
      </c>
      <c r="Y29" s="26">
        <v>0</v>
      </c>
      <c r="Z29" s="113"/>
      <c r="AB29" s="10">
        <f t="shared" si="0"/>
        <v>6000</v>
      </c>
      <c r="AC29" s="34">
        <f t="shared" si="12"/>
        <v>7900</v>
      </c>
      <c r="AD29" s="10">
        <f t="shared" si="1"/>
        <v>13900</v>
      </c>
      <c r="AE29" s="72">
        <f t="shared" si="2"/>
        <v>43.165467625899282</v>
      </c>
      <c r="AF29" s="72">
        <f t="shared" si="3"/>
        <v>56.834532374100718</v>
      </c>
      <c r="AH29" s="70">
        <f t="shared" si="4"/>
        <v>13213.228800000001</v>
      </c>
      <c r="AI29" s="17">
        <f t="shared" si="5"/>
        <v>0.19177400290275762</v>
      </c>
      <c r="AJ29" s="17">
        <f t="shared" si="6"/>
        <v>4.1682109779179813E-2</v>
      </c>
      <c r="AL29" s="102">
        <f t="shared" si="7"/>
        <v>12668.577186633665</v>
      </c>
      <c r="AM29" s="102">
        <f t="shared" si="8"/>
        <v>544.65161336633662</v>
      </c>
      <c r="AN29" s="46">
        <f t="shared" si="9"/>
        <v>23.259964490571864</v>
      </c>
      <c r="AO29" s="68">
        <v>1</v>
      </c>
      <c r="AQ29" s="7">
        <f t="shared" si="10"/>
        <v>3792.5395107902405</v>
      </c>
      <c r="AR29" s="7">
        <f t="shared" si="11"/>
        <v>8829.0319811196805</v>
      </c>
      <c r="AU29" s="40"/>
    </row>
    <row r="30" spans="1:47">
      <c r="A30">
        <v>20</v>
      </c>
      <c r="B30" s="24">
        <v>4000</v>
      </c>
      <c r="C30" s="25">
        <v>2000</v>
      </c>
      <c r="D30" s="26">
        <f>10*120</f>
        <v>1200</v>
      </c>
      <c r="E30" s="26">
        <v>0</v>
      </c>
      <c r="F30" s="26"/>
      <c r="G30" s="26">
        <v>0</v>
      </c>
      <c r="H30" s="26">
        <v>0</v>
      </c>
      <c r="I30" s="26">
        <v>0</v>
      </c>
      <c r="J30" s="26">
        <v>4000</v>
      </c>
      <c r="K30" s="26">
        <v>0</v>
      </c>
      <c r="L30" s="26">
        <v>0</v>
      </c>
      <c r="M30" s="113">
        <v>0</v>
      </c>
      <c r="N30" s="8">
        <v>20</v>
      </c>
      <c r="O30" s="112">
        <v>0</v>
      </c>
      <c r="P30" s="26">
        <v>1000</v>
      </c>
      <c r="Q30" s="26">
        <v>0</v>
      </c>
      <c r="R30" s="26">
        <v>30</v>
      </c>
      <c r="S30" s="26">
        <v>0</v>
      </c>
      <c r="T30" s="26">
        <v>0</v>
      </c>
      <c r="U30" s="25">
        <v>1000</v>
      </c>
      <c r="V30" s="52">
        <v>0</v>
      </c>
      <c r="W30" s="25">
        <v>325</v>
      </c>
      <c r="X30" s="26">
        <v>0</v>
      </c>
      <c r="Y30" s="26">
        <v>0</v>
      </c>
      <c r="Z30" s="113"/>
      <c r="AB30" s="10">
        <f t="shared" si="0"/>
        <v>11200</v>
      </c>
      <c r="AC30" s="34">
        <f t="shared" si="12"/>
        <v>2355</v>
      </c>
      <c r="AD30" s="10">
        <f t="shared" si="1"/>
        <v>13555</v>
      </c>
      <c r="AE30" s="72">
        <f t="shared" si="2"/>
        <v>82.626337144964964</v>
      </c>
      <c r="AF30" s="72">
        <f t="shared" si="3"/>
        <v>17.373662855035043</v>
      </c>
      <c r="AH30" s="70">
        <f t="shared" si="4"/>
        <v>10227.325320000002</v>
      </c>
      <c r="AI30" s="17">
        <f t="shared" si="5"/>
        <v>0.14843723251088536</v>
      </c>
      <c r="AJ30" s="17">
        <f t="shared" si="6"/>
        <v>3.226285589905363E-2</v>
      </c>
      <c r="AL30" s="102">
        <f t="shared" si="7"/>
        <v>9712.84510434</v>
      </c>
      <c r="AM30" s="102">
        <f t="shared" si="8"/>
        <v>514.48021566000239</v>
      </c>
      <c r="AN30" s="46">
        <f t="shared" si="9"/>
        <v>18.878947739282548</v>
      </c>
      <c r="AO30" s="68">
        <v>1</v>
      </c>
      <c r="AQ30" s="7">
        <f t="shared" si="10"/>
        <v>2321.1015323750403</v>
      </c>
      <c r="AR30" s="7">
        <f t="shared" si="11"/>
        <v>5403.5243673690939</v>
      </c>
    </row>
    <row r="31" spans="1:47">
      <c r="A31">
        <v>21</v>
      </c>
      <c r="B31" s="24">
        <v>4000</v>
      </c>
      <c r="C31" s="25">
        <v>2000</v>
      </c>
      <c r="D31" s="26">
        <f>7*120</f>
        <v>840</v>
      </c>
      <c r="E31" s="26">
        <v>0</v>
      </c>
      <c r="F31" s="26"/>
      <c r="G31" s="26">
        <v>0</v>
      </c>
      <c r="H31" s="26">
        <v>0</v>
      </c>
      <c r="I31" s="26">
        <v>0</v>
      </c>
      <c r="J31" s="26">
        <v>1000</v>
      </c>
      <c r="K31" s="26">
        <v>0</v>
      </c>
      <c r="L31" s="26">
        <v>0</v>
      </c>
      <c r="M31" s="113">
        <v>0</v>
      </c>
      <c r="N31" s="8">
        <v>21</v>
      </c>
      <c r="O31" s="112">
        <v>0</v>
      </c>
      <c r="P31" s="26">
        <v>1000</v>
      </c>
      <c r="Q31" s="26">
        <v>0</v>
      </c>
      <c r="R31" s="26">
        <v>20</v>
      </c>
      <c r="S31" s="26">
        <v>0</v>
      </c>
      <c r="T31" s="26">
        <v>0</v>
      </c>
      <c r="U31" s="25">
        <v>1000</v>
      </c>
      <c r="V31" s="52">
        <v>0</v>
      </c>
      <c r="W31" s="78">
        <v>0</v>
      </c>
      <c r="X31" s="26">
        <v>0</v>
      </c>
      <c r="Y31" s="26">
        <v>0</v>
      </c>
      <c r="Z31" s="113"/>
      <c r="AB31" s="10">
        <f t="shared" si="0"/>
        <v>7840</v>
      </c>
      <c r="AC31" s="34">
        <f t="shared" si="12"/>
        <v>2020</v>
      </c>
      <c r="AD31" s="10">
        <f t="shared" si="1"/>
        <v>9860</v>
      </c>
      <c r="AE31" s="72">
        <f t="shared" si="2"/>
        <v>79.513184584178504</v>
      </c>
      <c r="AF31" s="72">
        <f t="shared" si="3"/>
        <v>20.4868154158215</v>
      </c>
      <c r="AH31" s="70">
        <f t="shared" si="4"/>
        <v>8953.5738000000019</v>
      </c>
      <c r="AI31" s="17">
        <f t="shared" si="5"/>
        <v>0.12995027285921629</v>
      </c>
      <c r="AJ31" s="17">
        <f t="shared" si="6"/>
        <v>2.8244712302839124E-2</v>
      </c>
      <c r="AL31" s="102">
        <f t="shared" si="7"/>
        <v>8619.6417469654825</v>
      </c>
      <c r="AM31" s="102">
        <f t="shared" si="8"/>
        <v>333.93205303451975</v>
      </c>
      <c r="AN31" s="46">
        <f t="shared" si="9"/>
        <v>25.812561773081541</v>
      </c>
      <c r="AO31" s="68">
        <v>1</v>
      </c>
      <c r="AQ31" s="7">
        <f t="shared" si="10"/>
        <v>2166.754605576672</v>
      </c>
      <c r="AR31" s="7">
        <f t="shared" si="11"/>
        <v>5044.204721782492</v>
      </c>
    </row>
    <row r="32" spans="1:47">
      <c r="A32">
        <v>22</v>
      </c>
      <c r="B32" s="24">
        <v>4000</v>
      </c>
      <c r="C32" s="25">
        <v>2000</v>
      </c>
      <c r="D32" s="26">
        <v>0</v>
      </c>
      <c r="E32" s="26">
        <v>0</v>
      </c>
      <c r="F32" s="26"/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113">
        <v>0</v>
      </c>
      <c r="N32" s="8">
        <v>22</v>
      </c>
      <c r="O32" s="112">
        <f>750+4000</f>
        <v>4750</v>
      </c>
      <c r="P32" s="26">
        <v>1000</v>
      </c>
      <c r="Q32" s="26">
        <v>0</v>
      </c>
      <c r="R32" s="26">
        <v>20</v>
      </c>
      <c r="S32" s="26">
        <v>0</v>
      </c>
      <c r="T32" s="26">
        <v>0</v>
      </c>
      <c r="U32" s="25">
        <f>1000</f>
        <v>1000</v>
      </c>
      <c r="V32" s="26">
        <v>17</v>
      </c>
      <c r="W32" s="78">
        <v>0</v>
      </c>
      <c r="X32" s="26">
        <v>0</v>
      </c>
      <c r="Y32" s="26">
        <v>0</v>
      </c>
      <c r="Z32" s="113"/>
      <c r="AB32" s="10">
        <f t="shared" si="0"/>
        <v>6000</v>
      </c>
      <c r="AC32" s="34">
        <f t="shared" si="12"/>
        <v>7382</v>
      </c>
      <c r="AD32" s="10">
        <f t="shared" si="1"/>
        <v>13382</v>
      </c>
      <c r="AE32" s="72">
        <f t="shared" si="2"/>
        <v>44.836347332237331</v>
      </c>
      <c r="AF32" s="72">
        <f t="shared" si="3"/>
        <v>55.163652667762669</v>
      </c>
      <c r="AH32" s="70">
        <f t="shared" si="4"/>
        <v>10649.5545</v>
      </c>
      <c r="AI32" s="17">
        <f t="shared" si="5"/>
        <v>0.15456537735849057</v>
      </c>
      <c r="AJ32" s="17">
        <f t="shared" si="6"/>
        <v>3.3594809148264987E-2</v>
      </c>
      <c r="AL32" s="102">
        <f t="shared" si="7"/>
        <v>10092.596904031117</v>
      </c>
      <c r="AM32" s="102">
        <f t="shared" si="8"/>
        <v>556.95759596888263</v>
      </c>
      <c r="AN32" s="46">
        <f t="shared" si="9"/>
        <v>18.120943097066576</v>
      </c>
      <c r="AO32" s="68">
        <v>1</v>
      </c>
      <c r="AQ32" s="7">
        <f t="shared" si="10"/>
        <v>2430.5897734514401</v>
      </c>
      <c r="AR32" s="7">
        <f t="shared" si="11"/>
        <v>5658.4129925949528</v>
      </c>
    </row>
    <row r="33" spans="1:45">
      <c r="A33">
        <v>23</v>
      </c>
      <c r="B33" s="24">
        <v>4000</v>
      </c>
      <c r="C33" s="25">
        <v>2000</v>
      </c>
      <c r="D33" s="26">
        <v>0</v>
      </c>
      <c r="E33" s="26">
        <v>0</v>
      </c>
      <c r="F33" s="26"/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113">
        <v>0</v>
      </c>
      <c r="N33" s="8">
        <v>23</v>
      </c>
      <c r="O33" s="112">
        <v>900</v>
      </c>
      <c r="P33" s="26">
        <v>1000</v>
      </c>
      <c r="Q33" s="26">
        <v>0</v>
      </c>
      <c r="R33" s="26">
        <v>20</v>
      </c>
      <c r="S33" s="26">
        <v>0</v>
      </c>
      <c r="T33" s="26">
        <v>0</v>
      </c>
      <c r="U33" s="25">
        <f>1000+1000+1000</f>
        <v>3000</v>
      </c>
      <c r="V33" s="52">
        <v>0</v>
      </c>
      <c r="W33" s="25">
        <f>325*2</f>
        <v>650</v>
      </c>
      <c r="X33" s="26">
        <v>0</v>
      </c>
      <c r="Y33" s="26">
        <v>0</v>
      </c>
      <c r="Z33" s="113"/>
      <c r="AB33" s="10">
        <f t="shared" si="0"/>
        <v>6000</v>
      </c>
      <c r="AC33" s="34">
        <f t="shared" si="12"/>
        <v>5570</v>
      </c>
      <c r="AD33" s="10">
        <f t="shared" si="1"/>
        <v>11570</v>
      </c>
      <c r="AE33" s="72">
        <f t="shared" si="2"/>
        <v>51.85825410544512</v>
      </c>
      <c r="AF33" s="72">
        <f t="shared" si="3"/>
        <v>48.14174589455488</v>
      </c>
      <c r="AH33" s="70">
        <f t="shared" si="4"/>
        <v>9394.6764000000003</v>
      </c>
      <c r="AI33" s="17">
        <f t="shared" si="5"/>
        <v>0.13635234252539913</v>
      </c>
      <c r="AJ33" s="17">
        <f t="shared" si="6"/>
        <v>2.9636203154574135E-2</v>
      </c>
      <c r="AL33" s="102">
        <f t="shared" si="7"/>
        <v>9045.176304031118</v>
      </c>
      <c r="AM33" s="102">
        <f t="shared" si="8"/>
        <v>349.50009596888265</v>
      </c>
      <c r="AN33" s="46">
        <f t="shared" si="9"/>
        <v>25.88032566616647</v>
      </c>
      <c r="AO33" s="68">
        <v>1</v>
      </c>
      <c r="AQ33" s="7">
        <f t="shared" si="10"/>
        <v>2593.9321943659206</v>
      </c>
      <c r="AR33" s="7">
        <f t="shared" si="11"/>
        <v>6038.6741484838631</v>
      </c>
    </row>
    <row r="34" spans="1:45">
      <c r="A34">
        <v>24</v>
      </c>
      <c r="B34" s="24">
        <v>4000</v>
      </c>
      <c r="C34" s="25">
        <v>2000</v>
      </c>
      <c r="D34" s="26">
        <f>7.5*120</f>
        <v>900</v>
      </c>
      <c r="E34" s="26">
        <v>0</v>
      </c>
      <c r="F34" s="26"/>
      <c r="G34" s="26">
        <v>0</v>
      </c>
      <c r="H34" s="26">
        <v>0</v>
      </c>
      <c r="I34" s="26">
        <v>0</v>
      </c>
      <c r="J34" s="26">
        <v>4000</v>
      </c>
      <c r="K34" s="26">
        <v>0</v>
      </c>
      <c r="L34" s="26">
        <v>0</v>
      </c>
      <c r="M34" s="113">
        <v>0</v>
      </c>
      <c r="N34" s="8">
        <v>24</v>
      </c>
      <c r="O34" s="112">
        <v>1000</v>
      </c>
      <c r="P34" s="26">
        <v>1000</v>
      </c>
      <c r="Q34" s="26">
        <v>0</v>
      </c>
      <c r="R34" s="26">
        <v>20</v>
      </c>
      <c r="S34" s="26">
        <v>0</v>
      </c>
      <c r="T34" s="26">
        <v>0</v>
      </c>
      <c r="U34" s="25">
        <v>1000</v>
      </c>
      <c r="V34" s="52">
        <v>0</v>
      </c>
      <c r="W34" s="78">
        <v>0</v>
      </c>
      <c r="X34" s="26">
        <v>0</v>
      </c>
      <c r="Y34" s="26">
        <v>0</v>
      </c>
      <c r="Z34" s="113"/>
      <c r="AB34" s="10">
        <f t="shared" si="0"/>
        <v>10900</v>
      </c>
      <c r="AC34" s="34">
        <f t="shared" si="12"/>
        <v>3020</v>
      </c>
      <c r="AD34" s="10">
        <f t="shared" si="1"/>
        <v>13920</v>
      </c>
      <c r="AE34" s="72">
        <f t="shared" si="2"/>
        <v>78.304597701149419</v>
      </c>
      <c r="AF34" s="72">
        <f t="shared" si="3"/>
        <v>21.695402298850574</v>
      </c>
      <c r="AH34" s="70">
        <f t="shared" si="4"/>
        <v>9984.1726200000012</v>
      </c>
      <c r="AI34" s="17">
        <f t="shared" si="5"/>
        <v>0.1449081657474601</v>
      </c>
      <c r="AJ34" s="17">
        <f t="shared" si="6"/>
        <v>3.1495812681388013E-2</v>
      </c>
      <c r="AL34" s="102">
        <f t="shared" si="7"/>
        <v>9442.9071043399981</v>
      </c>
      <c r="AM34" s="102">
        <f t="shared" si="8"/>
        <v>541.26551566000228</v>
      </c>
      <c r="AN34" s="46">
        <f t="shared" si="9"/>
        <v>17.445979526010653</v>
      </c>
      <c r="AO34" s="68">
        <v>1</v>
      </c>
      <c r="AQ34" s="7">
        <f t="shared" si="10"/>
        <v>2270.26426096776</v>
      </c>
      <c r="AR34" s="7">
        <f t="shared" si="11"/>
        <v>5285.175199532946</v>
      </c>
    </row>
    <row r="35" spans="1:45">
      <c r="A35">
        <v>25</v>
      </c>
      <c r="B35" s="24">
        <v>4000</v>
      </c>
      <c r="C35" s="25">
        <v>4000</v>
      </c>
      <c r="D35" s="26">
        <v>0</v>
      </c>
      <c r="E35" s="26">
        <v>0</v>
      </c>
      <c r="F35" s="26"/>
      <c r="G35" s="26">
        <v>0</v>
      </c>
      <c r="H35" s="26">
        <v>0</v>
      </c>
      <c r="I35" s="26">
        <v>0</v>
      </c>
      <c r="J35" s="26">
        <v>4000</v>
      </c>
      <c r="K35" s="26">
        <v>0</v>
      </c>
      <c r="L35" s="26">
        <v>0</v>
      </c>
      <c r="M35" s="113">
        <v>0</v>
      </c>
      <c r="N35" s="8">
        <v>25</v>
      </c>
      <c r="O35" s="112">
        <v>1000</v>
      </c>
      <c r="P35" s="26">
        <v>1000</v>
      </c>
      <c r="Q35" s="26">
        <v>0</v>
      </c>
      <c r="R35" s="26">
        <v>20</v>
      </c>
      <c r="S35" s="26">
        <v>0</v>
      </c>
      <c r="T35" s="26">
        <v>0</v>
      </c>
      <c r="U35" s="25">
        <f>1500</f>
        <v>1500</v>
      </c>
      <c r="V35" s="26">
        <v>15</v>
      </c>
      <c r="W35" s="25">
        <f>325*2</f>
        <v>650</v>
      </c>
      <c r="X35" s="26">
        <v>0</v>
      </c>
      <c r="Y35" s="26">
        <v>0</v>
      </c>
      <c r="Z35" s="113"/>
      <c r="AB35" s="10">
        <f t="shared" si="0"/>
        <v>12000</v>
      </c>
      <c r="AC35" s="34">
        <f t="shared" si="12"/>
        <v>4710</v>
      </c>
      <c r="AD35" s="10">
        <f t="shared" si="1"/>
        <v>16710</v>
      </c>
      <c r="AE35" s="72">
        <f t="shared" si="2"/>
        <v>71.813285457809698</v>
      </c>
      <c r="AF35" s="72">
        <f t="shared" si="3"/>
        <v>28.186714542190305</v>
      </c>
      <c r="AH35" s="70">
        <f t="shared" si="4"/>
        <v>11475.239519999999</v>
      </c>
      <c r="AI35" s="17">
        <f t="shared" si="5"/>
        <v>0.16654919477503627</v>
      </c>
      <c r="AJ35" s="17">
        <f t="shared" si="6"/>
        <v>3.6199493753943213E-2</v>
      </c>
      <c r="AL35" s="102">
        <f t="shared" si="7"/>
        <v>10860.388397197139</v>
      </c>
      <c r="AM35" s="102">
        <f t="shared" si="8"/>
        <v>614.85112280285944</v>
      </c>
      <c r="AN35" s="46">
        <f t="shared" si="9"/>
        <v>17.663444034531462</v>
      </c>
      <c r="AO35" s="68">
        <v>1</v>
      </c>
      <c r="AQ35" s="7">
        <f t="shared" si="10"/>
        <v>2496.3545942856003</v>
      </c>
      <c r="AR35" s="7">
        <f t="shared" si="11"/>
        <v>5811.5134954968771</v>
      </c>
    </row>
    <row r="36" spans="1:45">
      <c r="A36">
        <v>26</v>
      </c>
      <c r="B36" s="24">
        <v>4000</v>
      </c>
      <c r="C36" s="25">
        <v>2000</v>
      </c>
      <c r="D36" s="26">
        <v>0</v>
      </c>
      <c r="E36" s="26">
        <v>0</v>
      </c>
      <c r="F36" s="26"/>
      <c r="G36" s="26">
        <v>0</v>
      </c>
      <c r="H36" s="26">
        <v>0</v>
      </c>
      <c r="I36" s="26">
        <v>0</v>
      </c>
      <c r="J36" s="26">
        <v>4000</v>
      </c>
      <c r="K36" s="26">
        <v>0</v>
      </c>
      <c r="L36" s="26">
        <v>0</v>
      </c>
      <c r="M36" s="113">
        <v>0</v>
      </c>
      <c r="N36" s="8">
        <v>26</v>
      </c>
      <c r="O36" s="112">
        <f>800+4000</f>
        <v>4800</v>
      </c>
      <c r="P36" s="26">
        <v>1000</v>
      </c>
      <c r="Q36" s="26">
        <v>0</v>
      </c>
      <c r="R36" s="26">
        <v>0</v>
      </c>
      <c r="S36" s="26">
        <v>0</v>
      </c>
      <c r="T36" s="26">
        <v>0</v>
      </c>
      <c r="U36" s="25">
        <f>1000+1000</f>
        <v>2000</v>
      </c>
      <c r="V36" s="52">
        <v>0</v>
      </c>
      <c r="W36" s="78">
        <v>0</v>
      </c>
      <c r="X36" s="26">
        <v>0</v>
      </c>
      <c r="Y36" s="26">
        <v>0</v>
      </c>
      <c r="Z36" s="113"/>
      <c r="AB36" s="10">
        <f t="shared" si="0"/>
        <v>10000</v>
      </c>
      <c r="AC36" s="34">
        <f t="shared" si="12"/>
        <v>7800</v>
      </c>
      <c r="AD36" s="10">
        <f t="shared" si="1"/>
        <v>17800</v>
      </c>
      <c r="AE36" s="72">
        <f t="shared" si="2"/>
        <v>56.179775280898873</v>
      </c>
      <c r="AF36" s="72">
        <f t="shared" si="3"/>
        <v>43.820224719101127</v>
      </c>
      <c r="AH36" s="70">
        <f t="shared" si="4"/>
        <v>10730.060519999999</v>
      </c>
      <c r="AI36" s="17">
        <f t="shared" si="5"/>
        <v>0.15573382467343974</v>
      </c>
      <c r="AJ36" s="17">
        <f t="shared" si="6"/>
        <v>3.3848771356466877E-2</v>
      </c>
      <c r="AL36" s="102">
        <f t="shared" si="7"/>
        <v>10007.493332911426</v>
      </c>
      <c r="AM36" s="102">
        <f t="shared" si="8"/>
        <v>722.56718708857375</v>
      </c>
      <c r="AN36" s="46">
        <f t="shared" si="9"/>
        <v>13.849913906600754</v>
      </c>
      <c r="AO36" s="68">
        <v>1</v>
      </c>
      <c r="AQ36" s="7">
        <f t="shared" si="10"/>
        <v>2611.2543557510403</v>
      </c>
      <c r="AR36" s="7">
        <f t="shared" si="11"/>
        <v>6079.0001401884219</v>
      </c>
    </row>
    <row r="37" spans="1:45">
      <c r="A37">
        <v>27</v>
      </c>
      <c r="B37" s="24">
        <v>4000</v>
      </c>
      <c r="C37" s="25">
        <v>2000</v>
      </c>
      <c r="D37" s="26">
        <v>0</v>
      </c>
      <c r="E37" s="26">
        <v>0</v>
      </c>
      <c r="F37" s="26"/>
      <c r="G37" s="26">
        <v>0</v>
      </c>
      <c r="H37" s="26">
        <v>0</v>
      </c>
      <c r="I37" s="26">
        <v>0</v>
      </c>
      <c r="J37" s="26">
        <v>4000</v>
      </c>
      <c r="K37" s="26">
        <v>0</v>
      </c>
      <c r="L37" s="26">
        <v>0</v>
      </c>
      <c r="M37" s="113">
        <v>0</v>
      </c>
      <c r="N37" s="8">
        <v>27</v>
      </c>
      <c r="O37" s="112">
        <v>0</v>
      </c>
      <c r="P37" s="26">
        <v>1000</v>
      </c>
      <c r="Q37" s="26">
        <v>0</v>
      </c>
      <c r="R37" s="26">
        <v>20</v>
      </c>
      <c r="S37" s="26">
        <v>0</v>
      </c>
      <c r="T37" s="26">
        <v>0</v>
      </c>
      <c r="U37" s="25">
        <v>1000</v>
      </c>
      <c r="V37" s="52">
        <v>0</v>
      </c>
      <c r="W37" s="78">
        <v>0</v>
      </c>
      <c r="X37" s="26">
        <v>0</v>
      </c>
      <c r="Y37" s="26">
        <v>0</v>
      </c>
      <c r="Z37" s="113"/>
      <c r="AB37" s="10">
        <f t="shared" si="0"/>
        <v>10000</v>
      </c>
      <c r="AC37" s="34">
        <f t="shared" si="12"/>
        <v>2020</v>
      </c>
      <c r="AD37" s="10">
        <f t="shared" si="1"/>
        <v>12020</v>
      </c>
      <c r="AE37" s="72">
        <f t="shared" si="2"/>
        <v>83.194675540765388</v>
      </c>
      <c r="AF37" s="72">
        <f t="shared" si="3"/>
        <v>16.805324459234608</v>
      </c>
      <c r="AH37" s="70">
        <f t="shared" si="4"/>
        <v>8241.9049200000009</v>
      </c>
      <c r="AI37" s="17">
        <f t="shared" si="5"/>
        <v>0.11962126153846155</v>
      </c>
      <c r="AJ37" s="17">
        <f t="shared" si="6"/>
        <v>2.5999700063091484E-2</v>
      </c>
      <c r="AL37" s="102">
        <f t="shared" si="7"/>
        <v>7821.9685329114263</v>
      </c>
      <c r="AM37" s="102">
        <f t="shared" si="8"/>
        <v>419.93638708857378</v>
      </c>
      <c r="AN37" s="46">
        <f t="shared" si="9"/>
        <v>18.62655576750867</v>
      </c>
      <c r="AO37" s="68">
        <v>1</v>
      </c>
      <c r="AQ37" s="7">
        <f t="shared" si="10"/>
        <v>1996.6372864694401</v>
      </c>
      <c r="AR37" s="7">
        <f t="shared" si="11"/>
        <v>4648.1716029008567</v>
      </c>
    </row>
    <row r="38" spans="1:45">
      <c r="A38">
        <v>28</v>
      </c>
      <c r="B38" s="24">
        <v>4000</v>
      </c>
      <c r="C38" s="25">
        <v>2000</v>
      </c>
      <c r="D38" s="26">
        <v>0</v>
      </c>
      <c r="E38" s="26">
        <v>0</v>
      </c>
      <c r="F38" s="26"/>
      <c r="G38" s="26">
        <v>0</v>
      </c>
      <c r="H38" s="26">
        <v>0</v>
      </c>
      <c r="I38" s="26">
        <v>0</v>
      </c>
      <c r="J38" s="26">
        <v>4000</v>
      </c>
      <c r="K38" s="26">
        <v>0</v>
      </c>
      <c r="L38" s="26">
        <v>0</v>
      </c>
      <c r="M38" s="113">
        <v>0</v>
      </c>
      <c r="N38" s="8">
        <v>28</v>
      </c>
      <c r="O38" s="112">
        <v>0</v>
      </c>
      <c r="P38" s="26">
        <v>1000</v>
      </c>
      <c r="Q38" s="26">
        <v>0</v>
      </c>
      <c r="R38" s="26">
        <v>20</v>
      </c>
      <c r="S38" s="26">
        <v>0</v>
      </c>
      <c r="T38" s="26">
        <v>0</v>
      </c>
      <c r="U38" s="25">
        <v>1700</v>
      </c>
      <c r="V38" s="52">
        <v>0</v>
      </c>
      <c r="W38" s="78">
        <v>0</v>
      </c>
      <c r="X38" s="26">
        <v>0</v>
      </c>
      <c r="Y38" s="26">
        <v>0</v>
      </c>
      <c r="Z38" s="113"/>
      <c r="AB38" s="10">
        <f t="shared" si="0"/>
        <v>10000</v>
      </c>
      <c r="AC38" s="34">
        <f t="shared" si="12"/>
        <v>2720</v>
      </c>
      <c r="AD38" s="10">
        <f t="shared" si="1"/>
        <v>12720</v>
      </c>
      <c r="AE38" s="72">
        <f t="shared" si="2"/>
        <v>78.616352201257868</v>
      </c>
      <c r="AF38" s="72">
        <f t="shared" si="3"/>
        <v>21.383647798742139</v>
      </c>
      <c r="AH38" s="70">
        <f t="shared" si="4"/>
        <v>8630.1319199999998</v>
      </c>
      <c r="AI38" s="17">
        <f t="shared" si="5"/>
        <v>0.12525590595065311</v>
      </c>
      <c r="AJ38" s="17">
        <f t="shared" si="6"/>
        <v>2.7224390914826497E-2</v>
      </c>
      <c r="AL38" s="102">
        <f t="shared" si="7"/>
        <v>8191.708532911427</v>
      </c>
      <c r="AM38" s="102">
        <f t="shared" si="8"/>
        <v>438.42338708857375</v>
      </c>
      <c r="AN38" s="46">
        <f t="shared" si="9"/>
        <v>18.684469793707592</v>
      </c>
      <c r="AO38" s="68">
        <v>1</v>
      </c>
      <c r="AQ38" s="7">
        <f t="shared" si="10"/>
        <v>2119.9049494382402</v>
      </c>
      <c r="AR38" s="7">
        <f t="shared" si="11"/>
        <v>4935.1387222922231</v>
      </c>
    </row>
    <row r="39" spans="1:45">
      <c r="A39">
        <v>29</v>
      </c>
      <c r="B39" s="120">
        <v>4000</v>
      </c>
      <c r="C39" s="121">
        <v>2000</v>
      </c>
      <c r="D39" s="115">
        <v>0</v>
      </c>
      <c r="E39" s="115">
        <v>0</v>
      </c>
      <c r="F39" s="115"/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6">
        <v>0</v>
      </c>
      <c r="N39" s="8">
        <v>29</v>
      </c>
      <c r="O39" s="114">
        <f>250+4000</f>
        <v>4250</v>
      </c>
      <c r="P39" s="115">
        <v>1000</v>
      </c>
      <c r="Q39" s="115">
        <v>0</v>
      </c>
      <c r="R39" s="115">
        <v>20</v>
      </c>
      <c r="S39" s="115">
        <v>0</v>
      </c>
      <c r="T39" s="115">
        <v>0</v>
      </c>
      <c r="U39" s="121">
        <f>1000</f>
        <v>1000</v>
      </c>
      <c r="V39" s="115">
        <v>15</v>
      </c>
      <c r="W39" s="122">
        <v>0</v>
      </c>
      <c r="X39" s="115">
        <v>0</v>
      </c>
      <c r="Y39" s="115">
        <v>0</v>
      </c>
      <c r="Z39" s="116"/>
      <c r="AB39" s="10">
        <f t="shared" si="0"/>
        <v>6000</v>
      </c>
      <c r="AC39" s="34">
        <f t="shared" si="12"/>
        <v>6810</v>
      </c>
      <c r="AD39" s="10">
        <f t="shared" si="1"/>
        <v>12810</v>
      </c>
      <c r="AE39" s="72">
        <f t="shared" si="2"/>
        <v>46.838407494145201</v>
      </c>
      <c r="AF39" s="72">
        <f t="shared" si="3"/>
        <v>53.161592505854799</v>
      </c>
      <c r="AH39" s="70">
        <f t="shared" si="4"/>
        <v>10305.529500000001</v>
      </c>
      <c r="AI39" s="17">
        <f t="shared" si="5"/>
        <v>0.14957227140783746</v>
      </c>
      <c r="AJ39" s="17">
        <f t="shared" si="6"/>
        <v>3.2509556782334387E-2</v>
      </c>
      <c r="AL39" s="102">
        <f t="shared" si="7"/>
        <v>9784.1360468882613</v>
      </c>
      <c r="AM39" s="102">
        <f t="shared" si="8"/>
        <v>521.39345311173975</v>
      </c>
      <c r="AN39" s="46">
        <f t="shared" si="9"/>
        <v>18.765360378990842</v>
      </c>
      <c r="AO39" s="68">
        <v>1</v>
      </c>
      <c r="AQ39" s="7">
        <f t="shared" si="10"/>
        <v>2384.9105642954401</v>
      </c>
      <c r="AR39" s="7">
        <f t="shared" si="11"/>
        <v>5552.0717936797846</v>
      </c>
    </row>
    <row r="40" spans="1:45">
      <c r="A40" s="35"/>
      <c r="B40" s="30"/>
      <c r="C40" s="30"/>
      <c r="D40" s="76"/>
      <c r="E40" s="52"/>
      <c r="F40" s="52"/>
      <c r="G40" s="59"/>
      <c r="H40" s="59"/>
      <c r="I40" s="59"/>
      <c r="J40" s="76"/>
      <c r="K40" s="59"/>
      <c r="L40" s="59"/>
      <c r="M40" s="59"/>
      <c r="N40" s="98"/>
      <c r="O40" s="30"/>
      <c r="P40" s="30"/>
      <c r="Q40" s="59"/>
      <c r="R40" s="30"/>
      <c r="S40" s="59"/>
      <c r="T40" s="76"/>
      <c r="U40" s="30"/>
      <c r="V40" s="30"/>
      <c r="W40" s="76"/>
      <c r="X40" s="76"/>
      <c r="Y40" s="76"/>
      <c r="Z40" s="30"/>
      <c r="AH40" s="15"/>
      <c r="AI40" s="17"/>
      <c r="AJ40" s="17"/>
      <c r="AL40" s="104"/>
      <c r="AM40" s="104"/>
      <c r="AN40" s="46"/>
    </row>
    <row r="41" spans="1:45">
      <c r="A41" s="35"/>
      <c r="B41" s="30"/>
      <c r="C41" s="30"/>
      <c r="D41" s="76"/>
      <c r="E41" s="52"/>
      <c r="F41" s="52"/>
      <c r="G41" s="59"/>
      <c r="H41" s="59"/>
      <c r="I41" s="59"/>
      <c r="J41" s="76"/>
      <c r="K41" s="59"/>
      <c r="L41" s="59"/>
      <c r="M41" s="59"/>
      <c r="N41" s="98"/>
      <c r="O41" s="30"/>
      <c r="P41" s="30"/>
      <c r="Q41" s="59"/>
      <c r="R41" s="30"/>
      <c r="S41" s="59"/>
      <c r="T41" s="76"/>
      <c r="U41" s="30"/>
      <c r="V41" s="30"/>
      <c r="W41" s="76"/>
      <c r="X41" s="76"/>
      <c r="Y41" s="76"/>
      <c r="Z41" s="30"/>
      <c r="AA41" s="60" t="s">
        <v>21</v>
      </c>
      <c r="AB41" s="10">
        <f>SUM(AB11:AB39)</f>
        <v>267860</v>
      </c>
      <c r="AC41" s="10">
        <f>SUM(AC11:AC39)</f>
        <v>123309</v>
      </c>
      <c r="AD41" s="10">
        <f>SUM(AD11:AD39)</f>
        <v>391169</v>
      </c>
      <c r="AH41" s="15"/>
      <c r="AI41" s="17"/>
      <c r="AJ41" s="17"/>
      <c r="AK41" s="4" t="s">
        <v>70</v>
      </c>
      <c r="AL41" s="102">
        <f>AVERAGE(AL11:AL39)</f>
        <v>8921.3993715416564</v>
      </c>
      <c r="AM41" s="102">
        <f>AVERAGE(AM11:AM39)</f>
        <v>518.62937328592955</v>
      </c>
      <c r="AN41" s="46">
        <f>AVERAGE(AN11:AN39)</f>
        <v>18.28107715485649</v>
      </c>
    </row>
    <row r="42" spans="1:45">
      <c r="B42" s="7"/>
      <c r="C42" s="7"/>
    </row>
    <row r="43" spans="1:45">
      <c r="A43" s="16" t="s">
        <v>21</v>
      </c>
      <c r="B43" s="64">
        <f t="shared" ref="B43:M43" si="13">SUM(B11:B39)</f>
        <v>112000</v>
      </c>
      <c r="C43" s="64">
        <f t="shared" si="13"/>
        <v>60000</v>
      </c>
      <c r="D43" s="64">
        <f t="shared" si="13"/>
        <v>10260</v>
      </c>
      <c r="E43" s="64">
        <f t="shared" si="13"/>
        <v>600</v>
      </c>
      <c r="F43" s="64">
        <f t="shared" si="13"/>
        <v>0</v>
      </c>
      <c r="G43" s="64">
        <f t="shared" si="13"/>
        <v>0</v>
      </c>
      <c r="H43" s="64">
        <f t="shared" si="13"/>
        <v>0</v>
      </c>
      <c r="I43" s="64">
        <f t="shared" si="13"/>
        <v>0</v>
      </c>
      <c r="J43" s="64">
        <f t="shared" si="13"/>
        <v>85000</v>
      </c>
      <c r="K43" s="64">
        <f t="shared" si="13"/>
        <v>0</v>
      </c>
      <c r="L43" s="64">
        <f t="shared" si="13"/>
        <v>0</v>
      </c>
      <c r="M43" s="64">
        <f t="shared" si="13"/>
        <v>0</v>
      </c>
      <c r="N43" s="60"/>
      <c r="O43" s="60">
        <f t="shared" ref="O43:Y43" si="14">SUM(O11:O39)</f>
        <v>52300</v>
      </c>
      <c r="P43" s="60">
        <f t="shared" si="14"/>
        <v>25600</v>
      </c>
      <c r="Q43" s="60">
        <f t="shared" si="14"/>
        <v>0</v>
      </c>
      <c r="R43" s="60">
        <f t="shared" si="14"/>
        <v>705</v>
      </c>
      <c r="S43" s="60">
        <f t="shared" si="14"/>
        <v>0</v>
      </c>
      <c r="T43" s="60">
        <f t="shared" si="14"/>
        <v>0</v>
      </c>
      <c r="U43" s="60">
        <f t="shared" si="14"/>
        <v>33200</v>
      </c>
      <c r="V43" s="60">
        <f t="shared" si="14"/>
        <v>139</v>
      </c>
      <c r="W43" s="60">
        <f t="shared" si="14"/>
        <v>6500</v>
      </c>
      <c r="X43" s="60">
        <f t="shared" si="14"/>
        <v>0</v>
      </c>
      <c r="Y43" s="60">
        <f t="shared" si="14"/>
        <v>0</v>
      </c>
      <c r="Z43" s="60"/>
      <c r="AA43" s="4" t="s">
        <v>19</v>
      </c>
      <c r="AB43" s="60">
        <f>AVERAGE(AB11:AB39)</f>
        <v>9236.5517241379312</v>
      </c>
      <c r="AC43" s="61">
        <f>AVERAGE(AC11:AC39)</f>
        <v>4252.0344827586205</v>
      </c>
      <c r="AD43" s="60">
        <f>AVERAGE(AD11:AD39)</f>
        <v>13488.586206896553</v>
      </c>
      <c r="AE43" s="60">
        <f>AVERAGE(AE11:AE39)</f>
        <v>68.830812999881104</v>
      </c>
      <c r="AF43" s="60">
        <f>AVERAGE(AF11:AF39)</f>
        <v>31.169187000118914</v>
      </c>
      <c r="AG43" s="60"/>
      <c r="AH43" s="60">
        <f>AVERAGE(AH11:AH39)</f>
        <v>9440.0287448275885</v>
      </c>
      <c r="AI43" s="62">
        <f>AVERAGE(AI11:AI39)</f>
        <v>0.13701057684800563</v>
      </c>
      <c r="AJ43" s="62">
        <f>AVERAGE(AJ11:AJ39)</f>
        <v>2.9779270488415104E-2</v>
      </c>
      <c r="AK43" s="62"/>
      <c r="AL43" s="62"/>
      <c r="AM43" s="62"/>
      <c r="AN43" s="62">
        <f>AVERAGE(AN11:AN39)</f>
        <v>18.28107715485649</v>
      </c>
      <c r="AO43" s="6"/>
      <c r="AP43" s="4" t="s">
        <v>19</v>
      </c>
      <c r="AQ43" s="63">
        <f>AVERAGE(AQ11:AQ39)</f>
        <v>2166.2786417185102</v>
      </c>
      <c r="AR43" s="63">
        <f>AVERAGE(AR11:AR39)</f>
        <v>5043.0966779206938</v>
      </c>
      <c r="AS43" s="131">
        <v>5708</v>
      </c>
    </row>
    <row r="44" spans="1:45">
      <c r="A44" t="s">
        <v>19</v>
      </c>
      <c r="B44" s="64">
        <f t="shared" ref="B44:M44" si="15">(SUM(B11:B39)/31)</f>
        <v>3612.9032258064517</v>
      </c>
      <c r="C44" s="64">
        <f t="shared" si="15"/>
        <v>1935.483870967742</v>
      </c>
      <c r="D44" s="64">
        <f t="shared" si="15"/>
        <v>330.96774193548384</v>
      </c>
      <c r="E44" s="64">
        <f t="shared" si="15"/>
        <v>19.35483870967742</v>
      </c>
      <c r="F44" s="64">
        <f t="shared" si="15"/>
        <v>0</v>
      </c>
      <c r="G44" s="64">
        <f t="shared" si="15"/>
        <v>0</v>
      </c>
      <c r="H44" s="64">
        <f t="shared" si="15"/>
        <v>0</v>
      </c>
      <c r="I44" s="64">
        <f t="shared" si="15"/>
        <v>0</v>
      </c>
      <c r="J44" s="64">
        <f t="shared" si="15"/>
        <v>2741.9354838709678</v>
      </c>
      <c r="K44" s="64">
        <f t="shared" si="15"/>
        <v>0</v>
      </c>
      <c r="L44" s="64">
        <f t="shared" si="15"/>
        <v>0</v>
      </c>
      <c r="M44" s="64">
        <f t="shared" si="15"/>
        <v>0</v>
      </c>
      <c r="N44" s="4"/>
      <c r="O44" s="64">
        <f t="shared" ref="O44:Y44" si="16">(SUM(O11:O39)/31)</f>
        <v>1687.0967741935483</v>
      </c>
      <c r="P44" s="64">
        <f t="shared" si="16"/>
        <v>825.80645161290317</v>
      </c>
      <c r="Q44" s="64">
        <f t="shared" si="16"/>
        <v>0</v>
      </c>
      <c r="R44" s="64">
        <f t="shared" si="16"/>
        <v>22.741935483870968</v>
      </c>
      <c r="S44" s="64">
        <f t="shared" si="16"/>
        <v>0</v>
      </c>
      <c r="T44" s="64">
        <f t="shared" si="16"/>
        <v>0</v>
      </c>
      <c r="U44" s="64">
        <f t="shared" si="16"/>
        <v>1070.9677419354839</v>
      </c>
      <c r="V44" s="64">
        <f t="shared" si="16"/>
        <v>4.4838709677419351</v>
      </c>
      <c r="W44" s="64">
        <f t="shared" si="16"/>
        <v>209.67741935483872</v>
      </c>
      <c r="X44" s="64">
        <f t="shared" si="16"/>
        <v>0</v>
      </c>
      <c r="Y44" s="64">
        <f t="shared" si="16"/>
        <v>0</v>
      </c>
      <c r="Z44" s="74"/>
      <c r="AA44" s="4" t="s">
        <v>20</v>
      </c>
      <c r="AB44" s="64">
        <f>STDEV(AB11:AB39)</f>
        <v>2592.12030676222</v>
      </c>
      <c r="AC44" s="65">
        <f>STDEV(AC11:AC39)</f>
        <v>2243.3304240850512</v>
      </c>
      <c r="AD44" s="64">
        <f>STDEV(AD11:AD39)</f>
        <v>2879.4011098198066</v>
      </c>
      <c r="AE44" s="64">
        <f>STDEV(AE11:AE39)</f>
        <v>14.512264584058064</v>
      </c>
      <c r="AF44" s="64">
        <f>STDEV(AF11:AF39)</f>
        <v>14.512264584058126</v>
      </c>
      <c r="AG44" s="64"/>
      <c r="AH44" s="64">
        <f>STDEV(AH11:AH39)</f>
        <v>1958.2774174537528</v>
      </c>
      <c r="AI44" s="66">
        <f>STDEV(AI11:AI39)</f>
        <v>2.8422023475381121E-2</v>
      </c>
      <c r="AJ44" s="66">
        <f>STDEV(AJ11:AJ39)</f>
        <v>6.1775312853430929E-3</v>
      </c>
      <c r="AK44" s="66"/>
      <c r="AL44" s="66"/>
      <c r="AM44" s="66"/>
      <c r="AN44" s="66">
        <f>STDEV(AN11:AN39)</f>
        <v>5.3944436798903794</v>
      </c>
      <c r="AO44" s="6"/>
      <c r="AP44" s="4" t="s">
        <v>20</v>
      </c>
      <c r="AQ44" s="64">
        <f>STDEV(AQ11:AQ39)</f>
        <v>659.26672723879233</v>
      </c>
      <c r="AR44" s="64">
        <f>STDEV(AR11:AR39)</f>
        <v>1534.7729410119</v>
      </c>
      <c r="AS44" s="131">
        <v>1200</v>
      </c>
    </row>
    <row r="45" spans="1:45">
      <c r="B45" s="7"/>
      <c r="C45" s="7"/>
    </row>
  </sheetData>
  <mergeCells count="5">
    <mergeCell ref="AQ7:AR7"/>
    <mergeCell ref="AL8:AO8"/>
    <mergeCell ref="B9:M9"/>
    <mergeCell ref="O9:R9"/>
    <mergeCell ref="Y9:Z9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7"/>
  <sheetViews>
    <sheetView workbookViewId="0">
      <pane xSplit="1" ySplit="10" topLeftCell="Y21" activePane="bottomRight" state="frozen"/>
      <selection pane="topRight" activeCell="B1" sqref="B1"/>
      <selection pane="bottomLeft" activeCell="A11" sqref="A11"/>
      <selection pane="bottomRight" activeCell="AT46" sqref="AT46"/>
    </sheetView>
  </sheetViews>
  <sheetFormatPr baseColWidth="10" defaultColWidth="8.83203125" defaultRowHeight="15" x14ac:dyDescent="0"/>
  <cols>
    <col min="1" max="1" width="21.1640625" customWidth="1"/>
    <col min="2" max="2" width="9.5" customWidth="1"/>
    <col min="3" max="3" width="8.33203125" customWidth="1"/>
    <col min="4" max="4" width="7.83203125" customWidth="1"/>
    <col min="5" max="5" width="8" customWidth="1"/>
    <col min="6" max="6" width="7.5" customWidth="1"/>
    <col min="7" max="7" width="9.1640625" customWidth="1"/>
    <col min="8" max="8" width="8.5" customWidth="1"/>
    <col min="9" max="9" width="7.5" customWidth="1"/>
    <col min="11" max="11" width="7.5" customWidth="1"/>
    <col min="13" max="14" width="7.83203125" customWidth="1"/>
    <col min="15" max="15" width="8.5" customWidth="1"/>
    <col min="16" max="16" width="8.33203125" customWidth="1"/>
    <col min="17" max="17" width="7.1640625" customWidth="1"/>
    <col min="18" max="18" width="6.33203125" customWidth="1"/>
    <col min="19" max="19" width="8" customWidth="1"/>
    <col min="20" max="20" width="6.5" customWidth="1"/>
    <col min="21" max="21" width="8" customWidth="1"/>
    <col min="22" max="22" width="8.33203125" style="35" customWidth="1"/>
    <col min="23" max="23" width="7.5" customWidth="1"/>
    <col min="24" max="24" width="8.6640625" style="35" customWidth="1"/>
    <col min="25" max="26" width="13.33203125" style="35" customWidth="1"/>
    <col min="27" max="27" width="8" customWidth="1"/>
    <col min="28" max="28" width="11.6640625" customWidth="1"/>
    <col min="29" max="29" width="11.6640625" style="35" customWidth="1"/>
    <col min="30" max="30" width="11.6640625" customWidth="1"/>
    <col min="33" max="33" width="4" customWidth="1"/>
    <col min="34" max="34" width="11.6640625" bestFit="1" customWidth="1"/>
    <col min="35" max="36" width="11.33203125" customWidth="1"/>
    <col min="37" max="37" width="4.6640625" customWidth="1"/>
    <col min="38" max="39" width="8.33203125" style="101" customWidth="1"/>
    <col min="41" max="41" width="3.83203125" style="68" customWidth="1"/>
    <col min="42" max="42" width="5.1640625" customWidth="1"/>
    <col min="43" max="43" width="11.1640625" customWidth="1"/>
    <col min="44" max="44" width="11.33203125" customWidth="1"/>
  </cols>
  <sheetData>
    <row r="1" spans="1:47" ht="18">
      <c r="A1" s="1" t="s">
        <v>40</v>
      </c>
      <c r="B1" s="11"/>
      <c r="C1" s="11"/>
      <c r="D1" s="47" t="s">
        <v>60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6" t="s">
        <v>45</v>
      </c>
      <c r="W1" s="1"/>
      <c r="X1" s="37"/>
      <c r="Y1" s="37"/>
      <c r="Z1" s="37"/>
      <c r="AA1" s="1"/>
      <c r="AB1" s="2"/>
      <c r="AC1" s="32"/>
      <c r="AD1" s="2"/>
      <c r="AE1" s="2"/>
      <c r="AF1" s="2"/>
      <c r="AG1" s="1"/>
      <c r="AH1" s="1"/>
      <c r="AI1" s="1"/>
      <c r="AJ1" s="1"/>
      <c r="AK1" s="1"/>
      <c r="AL1" s="19"/>
      <c r="AM1" s="19"/>
      <c r="AN1" s="1"/>
      <c r="AO1" s="67"/>
    </row>
    <row r="2" spans="1:47" ht="19" thickBot="1">
      <c r="A2" s="29"/>
      <c r="B2" s="1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2">
        <v>36</v>
      </c>
      <c r="W2" s="1"/>
      <c r="X2" s="37"/>
      <c r="Y2" s="37"/>
      <c r="Z2" s="37"/>
      <c r="AA2" s="1"/>
      <c r="AB2" s="2"/>
      <c r="AC2" s="32"/>
      <c r="AD2" s="2"/>
      <c r="AE2" s="2"/>
      <c r="AF2" s="2"/>
      <c r="AG2" s="1"/>
      <c r="AH2" s="1"/>
      <c r="AI2" s="1"/>
      <c r="AJ2" s="1"/>
      <c r="AK2" s="1"/>
      <c r="AL2" s="19"/>
      <c r="AM2" s="19"/>
      <c r="AN2" s="1"/>
      <c r="AO2" s="67"/>
      <c r="AR2" s="35" t="s">
        <v>73</v>
      </c>
    </row>
    <row r="3" spans="1:47" ht="18">
      <c r="A3" s="29" t="s">
        <v>23</v>
      </c>
      <c r="B3" s="12">
        <v>8.5</v>
      </c>
      <c r="C3" s="12">
        <v>8.5</v>
      </c>
      <c r="D3" s="13">
        <v>21.5</v>
      </c>
      <c r="E3" s="13">
        <v>33</v>
      </c>
      <c r="F3" s="13">
        <v>25</v>
      </c>
      <c r="G3" s="13">
        <v>88</v>
      </c>
      <c r="H3" s="13">
        <v>37</v>
      </c>
      <c r="I3" s="13">
        <v>92</v>
      </c>
      <c r="J3" s="13">
        <v>3.4</v>
      </c>
      <c r="K3" s="13">
        <v>98</v>
      </c>
      <c r="L3" s="13">
        <v>42</v>
      </c>
      <c r="M3" s="13">
        <v>35</v>
      </c>
      <c r="N3" s="29" t="s">
        <v>23</v>
      </c>
      <c r="O3" s="13">
        <v>5</v>
      </c>
      <c r="P3" s="13">
        <v>45</v>
      </c>
      <c r="Q3" s="38">
        <v>2.5</v>
      </c>
      <c r="R3" s="13"/>
      <c r="S3" s="13"/>
      <c r="T3" s="13"/>
      <c r="U3" s="13">
        <v>7</v>
      </c>
      <c r="V3" s="38">
        <v>25</v>
      </c>
      <c r="W3" s="13">
        <v>8</v>
      </c>
      <c r="X3" s="38">
        <v>95</v>
      </c>
      <c r="Y3" s="38"/>
      <c r="Z3" s="38"/>
      <c r="AA3" s="1"/>
      <c r="AB3" s="2"/>
      <c r="AC3" s="32"/>
      <c r="AD3" s="2"/>
      <c r="AE3" s="2"/>
      <c r="AF3" s="2"/>
      <c r="AG3" s="1"/>
      <c r="AI3" s="6" t="s">
        <v>34</v>
      </c>
      <c r="AJ3" s="6" t="s">
        <v>35</v>
      </c>
      <c r="AK3" s="1"/>
      <c r="AL3" s="19"/>
      <c r="AM3" s="19"/>
      <c r="AN3" s="1"/>
      <c r="AO3" s="67"/>
      <c r="AQ3" t="s">
        <v>72</v>
      </c>
      <c r="AR3" s="109">
        <v>0.6</v>
      </c>
    </row>
    <row r="4" spans="1:47" ht="18">
      <c r="A4" s="29" t="s">
        <v>24</v>
      </c>
      <c r="B4" s="12">
        <v>76.5</v>
      </c>
      <c r="C4" s="12">
        <v>76.5</v>
      </c>
      <c r="D4" s="13">
        <v>83</v>
      </c>
      <c r="E4" s="13">
        <v>93</v>
      </c>
      <c r="F4" s="13">
        <v>85</v>
      </c>
      <c r="G4" s="13">
        <v>88</v>
      </c>
      <c r="H4" s="13">
        <v>85</v>
      </c>
      <c r="I4" s="13">
        <v>85</v>
      </c>
      <c r="J4" s="13">
        <v>63.3</v>
      </c>
      <c r="K4" s="13">
        <v>80</v>
      </c>
      <c r="L4" s="13">
        <v>90</v>
      </c>
      <c r="M4" s="13">
        <v>85</v>
      </c>
      <c r="N4" s="29" t="s">
        <v>24</v>
      </c>
      <c r="O4" s="13">
        <v>96.6</v>
      </c>
      <c r="P4" s="13">
        <v>99</v>
      </c>
      <c r="Q4" s="38">
        <v>95</v>
      </c>
      <c r="R4" s="13"/>
      <c r="S4" s="13"/>
      <c r="T4" s="13"/>
      <c r="U4" s="13">
        <v>95</v>
      </c>
      <c r="V4" s="38">
        <v>95</v>
      </c>
      <c r="W4" s="13">
        <v>92</v>
      </c>
      <c r="X4" s="38">
        <v>90</v>
      </c>
      <c r="Y4" s="38"/>
      <c r="Z4" s="38"/>
      <c r="AA4" s="1"/>
      <c r="AB4" s="2"/>
      <c r="AC4" s="32"/>
      <c r="AD4" s="2"/>
      <c r="AE4" s="2"/>
      <c r="AF4" s="2"/>
      <c r="AG4" s="1"/>
      <c r="AH4" s="4" t="s">
        <v>64</v>
      </c>
      <c r="AI4" s="7">
        <v>106000</v>
      </c>
      <c r="AJ4" s="7">
        <v>317000</v>
      </c>
      <c r="AK4" s="1"/>
      <c r="AL4" s="19"/>
      <c r="AM4" s="19"/>
      <c r="AN4" s="1"/>
      <c r="AO4" s="67"/>
    </row>
    <row r="5" spans="1:47" ht="18">
      <c r="A5" s="29" t="s">
        <v>61</v>
      </c>
      <c r="B5" s="12">
        <v>19</v>
      </c>
      <c r="C5" s="12">
        <v>19</v>
      </c>
      <c r="D5" s="13">
        <v>20</v>
      </c>
      <c r="E5" s="13">
        <v>40</v>
      </c>
      <c r="F5" s="13">
        <v>15</v>
      </c>
      <c r="G5" s="13">
        <v>25</v>
      </c>
      <c r="H5" s="13">
        <v>15</v>
      </c>
      <c r="I5" s="13">
        <v>60</v>
      </c>
      <c r="J5" s="13">
        <v>2.7</v>
      </c>
      <c r="K5" s="13">
        <v>175</v>
      </c>
      <c r="L5" s="13">
        <v>20</v>
      </c>
      <c r="M5" s="13">
        <v>30</v>
      </c>
      <c r="N5" s="29" t="s">
        <v>25</v>
      </c>
      <c r="O5" s="13">
        <v>6</v>
      </c>
      <c r="P5" s="13">
        <v>100</v>
      </c>
      <c r="Q5" s="38">
        <v>75</v>
      </c>
      <c r="R5" s="13"/>
      <c r="S5" s="13"/>
      <c r="T5" s="13"/>
      <c r="U5" s="13">
        <v>20</v>
      </c>
      <c r="V5" s="38">
        <v>20</v>
      </c>
      <c r="W5" s="13">
        <v>20</v>
      </c>
      <c r="X5" s="38">
        <v>98</v>
      </c>
      <c r="Y5" s="38"/>
      <c r="Z5" s="38"/>
      <c r="AA5" s="1"/>
      <c r="AB5" s="2"/>
      <c r="AC5" s="32"/>
      <c r="AD5" s="2"/>
      <c r="AE5" s="2"/>
      <c r="AF5" s="2"/>
      <c r="AG5" s="1"/>
      <c r="AH5" s="4" t="s">
        <v>36</v>
      </c>
      <c r="AI5" s="105">
        <v>0.65</v>
      </c>
      <c r="AJ5" s="105">
        <v>1</v>
      </c>
      <c r="AK5" s="1"/>
      <c r="AL5" s="19"/>
      <c r="AM5" s="19"/>
      <c r="AN5" s="1"/>
      <c r="AO5" s="67"/>
      <c r="AR5" s="35" t="s">
        <v>73</v>
      </c>
    </row>
    <row r="6" spans="1:47" s="35" customFormat="1" ht="18">
      <c r="A6" s="5" t="s">
        <v>26</v>
      </c>
      <c r="B6" s="106">
        <v>1</v>
      </c>
      <c r="C6" s="106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5" t="s">
        <v>26</v>
      </c>
      <c r="O6" s="38">
        <v>1</v>
      </c>
      <c r="P6" s="38">
        <v>1</v>
      </c>
      <c r="Q6" s="38">
        <v>1</v>
      </c>
      <c r="R6" s="38"/>
      <c r="S6" s="38"/>
      <c r="T6" s="38"/>
      <c r="U6" s="38">
        <v>1</v>
      </c>
      <c r="V6" s="38">
        <v>1</v>
      </c>
      <c r="W6" s="38">
        <v>1</v>
      </c>
      <c r="X6" s="38">
        <v>1</v>
      </c>
      <c r="Y6" s="38"/>
      <c r="Z6" s="38"/>
      <c r="AA6" s="37"/>
      <c r="AB6" s="32"/>
      <c r="AC6" s="32"/>
      <c r="AD6" s="32"/>
      <c r="AE6" s="32"/>
      <c r="AF6" s="32"/>
      <c r="AG6" s="37"/>
      <c r="AH6" s="74" t="s">
        <v>65</v>
      </c>
      <c r="AI6" s="36">
        <f>AI4*AI5</f>
        <v>68900</v>
      </c>
      <c r="AJ6" s="36">
        <f>AJ4*AJ5</f>
        <v>317000</v>
      </c>
      <c r="AK6" s="37"/>
      <c r="AL6" s="107"/>
      <c r="AM6" s="107"/>
      <c r="AN6" s="37"/>
      <c r="AO6" s="108"/>
      <c r="AQ6" t="s">
        <v>58</v>
      </c>
      <c r="AR6" s="109">
        <v>0.38800000000000001</v>
      </c>
    </row>
    <row r="7" spans="1:47" ht="18">
      <c r="A7" s="29" t="s">
        <v>29</v>
      </c>
      <c r="B7" s="83">
        <v>1</v>
      </c>
      <c r="C7" s="83">
        <v>1</v>
      </c>
      <c r="D7" s="14">
        <v>1</v>
      </c>
      <c r="E7" s="14">
        <v>0.95</v>
      </c>
      <c r="F7" s="14">
        <v>0.95</v>
      </c>
      <c r="G7" s="14">
        <v>0.5</v>
      </c>
      <c r="H7" s="14">
        <v>0.75</v>
      </c>
      <c r="I7" s="14">
        <v>0.65</v>
      </c>
      <c r="J7" s="14">
        <v>1</v>
      </c>
      <c r="K7" s="14">
        <v>0.3</v>
      </c>
      <c r="L7" s="14">
        <v>0.6</v>
      </c>
      <c r="M7" s="14">
        <v>0.7</v>
      </c>
      <c r="N7" s="29" t="s">
        <v>29</v>
      </c>
      <c r="O7" s="14">
        <v>1</v>
      </c>
      <c r="P7" s="14">
        <v>1</v>
      </c>
      <c r="Q7" s="39">
        <v>1</v>
      </c>
      <c r="R7" s="14"/>
      <c r="S7" s="14"/>
      <c r="T7" s="14"/>
      <c r="U7" s="14">
        <v>1</v>
      </c>
      <c r="V7" s="39">
        <v>1</v>
      </c>
      <c r="W7" s="14">
        <v>1</v>
      </c>
      <c r="X7" s="39">
        <v>1</v>
      </c>
      <c r="Y7" s="39"/>
      <c r="Z7" s="39"/>
      <c r="AB7" s="3"/>
      <c r="AC7" s="33"/>
      <c r="AD7" s="3"/>
      <c r="AE7" s="3"/>
      <c r="AF7" s="3"/>
      <c r="AH7" s="4" t="s">
        <v>71</v>
      </c>
      <c r="AJ7" s="68" t="s">
        <v>68</v>
      </c>
      <c r="AQ7" s="134" t="s">
        <v>59</v>
      </c>
      <c r="AR7" s="134"/>
    </row>
    <row r="8" spans="1:47" ht="18">
      <c r="A8" s="48" t="s">
        <v>63</v>
      </c>
      <c r="B8" s="84">
        <v>320</v>
      </c>
      <c r="C8" s="84">
        <v>320</v>
      </c>
      <c r="D8" s="85">
        <v>300</v>
      </c>
      <c r="E8" s="85">
        <v>660</v>
      </c>
      <c r="F8" s="85">
        <v>550</v>
      </c>
      <c r="G8" s="86">
        <v>500</v>
      </c>
      <c r="H8" s="85">
        <v>450</v>
      </c>
      <c r="I8" s="87">
        <v>333</v>
      </c>
      <c r="J8" s="88">
        <v>0</v>
      </c>
      <c r="K8" s="87">
        <v>333</v>
      </c>
      <c r="L8" s="87">
        <v>333</v>
      </c>
      <c r="M8" s="85">
        <v>450</v>
      </c>
      <c r="N8" s="1"/>
      <c r="O8" s="89">
        <v>500</v>
      </c>
      <c r="P8" s="90">
        <v>800</v>
      </c>
      <c r="Q8" s="91">
        <v>800</v>
      </c>
      <c r="U8" s="90">
        <v>700</v>
      </c>
      <c r="V8" s="91">
        <v>700</v>
      </c>
      <c r="W8" s="92">
        <v>900</v>
      </c>
      <c r="X8" s="91">
        <v>900</v>
      </c>
      <c r="AB8" s="3"/>
      <c r="AC8" s="5"/>
      <c r="AD8" s="3"/>
      <c r="AE8" s="3"/>
      <c r="AF8" s="3"/>
      <c r="AH8" s="99"/>
      <c r="AI8" s="100" t="s">
        <v>37</v>
      </c>
      <c r="AJ8" s="100"/>
      <c r="AL8" s="135" t="s">
        <v>69</v>
      </c>
      <c r="AM8" s="135"/>
      <c r="AN8" s="135"/>
      <c r="AO8" s="135"/>
      <c r="AQ8" s="4" t="s">
        <v>54</v>
      </c>
      <c r="AR8" s="4" t="s">
        <v>54</v>
      </c>
    </row>
    <row r="9" spans="1:47">
      <c r="B9" s="136" t="s">
        <v>18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O9" s="137" t="s">
        <v>42</v>
      </c>
      <c r="P9" s="137"/>
      <c r="Q9" s="137"/>
      <c r="R9" s="137"/>
      <c r="S9" s="28"/>
      <c r="T9" s="28"/>
      <c r="U9" s="28"/>
      <c r="V9" s="31"/>
      <c r="W9" s="28"/>
      <c r="X9" s="31"/>
      <c r="Y9" s="138" t="s">
        <v>51</v>
      </c>
      <c r="Z9" s="138"/>
      <c r="AA9" s="5"/>
      <c r="AB9" s="27" t="s">
        <v>0</v>
      </c>
      <c r="AC9" s="31" t="s">
        <v>1</v>
      </c>
      <c r="AD9" s="5" t="s">
        <v>2</v>
      </c>
      <c r="AE9" s="27" t="s">
        <v>3</v>
      </c>
      <c r="AF9" s="28" t="s">
        <v>4</v>
      </c>
      <c r="AG9" s="4"/>
      <c r="AH9" s="4"/>
      <c r="AI9" s="6" t="s">
        <v>34</v>
      </c>
      <c r="AJ9" s="6" t="s">
        <v>35</v>
      </c>
      <c r="AK9" s="4"/>
      <c r="AL9" s="19"/>
      <c r="AM9" s="19"/>
      <c r="AN9" s="4" t="s">
        <v>39</v>
      </c>
      <c r="AO9" s="6"/>
      <c r="AQ9" s="4" t="s">
        <v>55</v>
      </c>
      <c r="AR9" s="4" t="s">
        <v>56</v>
      </c>
    </row>
    <row r="10" spans="1:47" ht="45">
      <c r="A10" s="6" t="s">
        <v>62</v>
      </c>
      <c r="B10" s="93" t="s">
        <v>6</v>
      </c>
      <c r="C10" s="94" t="s">
        <v>5</v>
      </c>
      <c r="D10" s="93" t="s">
        <v>7</v>
      </c>
      <c r="E10" s="93" t="s">
        <v>28</v>
      </c>
      <c r="F10" s="93" t="s">
        <v>27</v>
      </c>
      <c r="G10" s="93" t="s">
        <v>31</v>
      </c>
      <c r="H10" s="93" t="s">
        <v>32</v>
      </c>
      <c r="I10" s="93" t="s">
        <v>33</v>
      </c>
      <c r="J10" s="93" t="s">
        <v>8</v>
      </c>
      <c r="K10" s="93" t="s">
        <v>9</v>
      </c>
      <c r="L10" s="93" t="s">
        <v>30</v>
      </c>
      <c r="M10" s="93" t="s">
        <v>10</v>
      </c>
      <c r="N10" s="9" t="s">
        <v>62</v>
      </c>
      <c r="O10" s="94" t="s">
        <v>11</v>
      </c>
      <c r="P10" s="94" t="s">
        <v>44</v>
      </c>
      <c r="Q10" s="94" t="s">
        <v>12</v>
      </c>
      <c r="R10" s="94" t="s">
        <v>13</v>
      </c>
      <c r="S10" s="94" t="s">
        <v>14</v>
      </c>
      <c r="T10" s="94" t="s">
        <v>15</v>
      </c>
      <c r="U10" s="94" t="s">
        <v>43</v>
      </c>
      <c r="V10" s="95" t="s">
        <v>52</v>
      </c>
      <c r="W10" s="94" t="s">
        <v>22</v>
      </c>
      <c r="X10" s="95" t="s">
        <v>41</v>
      </c>
      <c r="Y10" s="97" t="s">
        <v>47</v>
      </c>
      <c r="Z10" s="97" t="s">
        <v>46</v>
      </c>
      <c r="AA10" s="6"/>
      <c r="AB10" s="29" t="s">
        <v>16</v>
      </c>
      <c r="AC10" s="5" t="s">
        <v>16</v>
      </c>
      <c r="AD10" s="29" t="s">
        <v>16</v>
      </c>
      <c r="AE10" s="3" t="s">
        <v>17</v>
      </c>
      <c r="AF10" s="3" t="s">
        <v>17</v>
      </c>
      <c r="AH10" s="6" t="s">
        <v>66</v>
      </c>
      <c r="AI10" s="4" t="s">
        <v>67</v>
      </c>
      <c r="AJ10" s="4" t="s">
        <v>67</v>
      </c>
      <c r="AL10" s="20" t="s">
        <v>25</v>
      </c>
      <c r="AM10" s="20" t="s">
        <v>26</v>
      </c>
      <c r="AN10" s="6" t="s">
        <v>38</v>
      </c>
      <c r="AO10" s="6" t="s">
        <v>26</v>
      </c>
      <c r="AQ10" s="6" t="s">
        <v>53</v>
      </c>
      <c r="AR10" s="6" t="s">
        <v>57</v>
      </c>
    </row>
    <row r="11" spans="1:47">
      <c r="A11">
        <v>1</v>
      </c>
      <c r="B11" s="21">
        <v>4000</v>
      </c>
      <c r="C11" s="22">
        <v>2000</v>
      </c>
      <c r="D11" s="77">
        <v>0</v>
      </c>
      <c r="E11" s="23">
        <v>0</v>
      </c>
      <c r="F11" s="23">
        <v>0</v>
      </c>
      <c r="G11" s="59">
        <v>0</v>
      </c>
      <c r="H11" s="59">
        <v>0</v>
      </c>
      <c r="I11" s="59">
        <v>0</v>
      </c>
      <c r="J11" s="22">
        <v>300</v>
      </c>
      <c r="K11" s="59">
        <v>0</v>
      </c>
      <c r="L11" s="59">
        <v>0</v>
      </c>
      <c r="M11" s="59">
        <v>0</v>
      </c>
      <c r="N11" s="8">
        <v>1</v>
      </c>
      <c r="O11" s="21">
        <v>1000</v>
      </c>
      <c r="P11" s="77">
        <v>0</v>
      </c>
      <c r="Q11" s="59">
        <v>0</v>
      </c>
      <c r="R11" s="22">
        <v>20</v>
      </c>
      <c r="S11" s="59">
        <v>0</v>
      </c>
      <c r="T11" s="23">
        <v>0</v>
      </c>
      <c r="U11" s="22">
        <v>1700</v>
      </c>
      <c r="V11" s="82">
        <v>0</v>
      </c>
      <c r="W11" s="22">
        <v>650</v>
      </c>
      <c r="X11" s="82">
        <v>0</v>
      </c>
      <c r="Y11" s="82">
        <v>0</v>
      </c>
      <c r="Z11" s="43"/>
      <c r="AB11" s="10">
        <f t="shared" ref="AB11:AB41" si="0">SUM(B11:M11)</f>
        <v>6300</v>
      </c>
      <c r="AC11" s="34">
        <f>O11+P11+Q11+R11+U11+(V11*$V$2)+W11+X11+Y11</f>
        <v>3370</v>
      </c>
      <c r="AD11" s="10">
        <f t="shared" ref="AD11:AD41" si="1">SUM(AB11:AC11)</f>
        <v>9670</v>
      </c>
      <c r="AE11" s="72">
        <f t="shared" ref="AE11:AE41" si="2">(AB11*100)/AD11</f>
        <v>65.149948293691835</v>
      </c>
      <c r="AF11" s="72">
        <f t="shared" ref="AF11:AF41" si="3">(AC11*100)/AD11</f>
        <v>34.850051706308172</v>
      </c>
      <c r="AH11" s="70">
        <f t="shared" ref="AH11:AH41" si="4">((B11*8.34*$B$7*($B$3/100))*($B$4/100))+((C11*8.34*$C$7*($C$3/100))*($C$4/100))+ ((D11*8.34*$D$7*($D$3/100))*($D$4/100))+((E11*8.34*$E$7*($E$3/100))*($E$4/100))+ ((F11*8.34*$F$7*($F$3/100))*($F$4/100))+((G11*8.34*$G$7*($G$3/100))*($G$4/100))+ ((H11*8.34*$H$7*($H$3/100))*($H$4/100))+((I11*8.34*$I$7*($I$3/100))*($I$4/100))+ ((J11*8.34*$J$7*($J$3/100))*($J$4/100))+((K11*8.34*$K$7*($K$3/100))*($K$4/100))+ ((L11*8.34*$L$7*($L$3/100))*($L$4/100))+((M11*8.34*$M$7*($M$3/100))*($M$4/100))+ ((O11*8.34*$O$7*($O$3/100))*($O$4/100))+((P11*8.34*$P$7*($P$3/100))*($P$4/100))+
((Q11*8.34*$Q$7*($Q$3/100))*($Q$4/100))+((R11*8.34*$R$7*($R$3/100))*($R$4/100))+
((U11*8.34*$U$7*($U$3/100))*($U$4/100))+(((V11*$V$2)*8.34*$V$7*($V$3/100))*($V$4/100))+
((W11*8.34*$W$7*($W$3/100))*($W$4/100))+((X11*8.34*$X$7*($X$3/100))*($X$4/100))</f>
        <v>5052.3436440000005</v>
      </c>
      <c r="AI11" s="17">
        <f t="shared" ref="AI11:AI41" si="5">AH11/$AI$6</f>
        <v>7.3328645050798266E-2</v>
      </c>
      <c r="AJ11" s="17">
        <f t="shared" ref="AJ11:AJ41" si="6">AH11/$AJ$6</f>
        <v>1.5937992567823345E-2</v>
      </c>
      <c r="AL11" s="102">
        <f t="shared" ref="AL11:AL41" si="7">((((B11*8.34*$B$7*($B$3/100))*($B$4/100))/($B$5+$B$6))*$B$5)
+((((C11*8.34*$C$7*($C$3/100))*($C$4/100))/($C$5+$C$6))*$C$5)
+((((D11*8.34*$D$7*($D$3/100))*($D$4/100))/($D$5+$D$6))*$D$5)
+((((E11*8.34*$E$7*($E$3/100))*($E$4/100))/($E$5+$E$6))*$E$5)
+((((F11*8.34*$F$7*($F$3/100))*($F$4/100))/($F$5+$F$6))*$F$5)
+((((G11*8.34*$G$7*($G$3/100))*($G$4/100))/($G$5+$G$6))*$G$5)
+((((H11*8.34*$H$7*($H$3/100))*($H$4/100))/($H$5+$H$6))*$H$5)
+((((I11*8.34*$I$7*($I$3/100))*($I$4/100))/($I$5+$I$6))*$I$5)
+((((J11*8.34*$J$7*($J$3/100))*($J$4/100))/($J$5+$J$6))*$J$5)
+((((K11*8.34*$K$7*($K$3/100))*($K$4/100))/($K$5+$K$6))*$K$5)
+((((L11*8.34*$L$7*($L$3/100))*($L$4/100))/($L$5+$L$6))*$L$5)
+((((M11*8.34*$M$7*($M$3/100))*($M$4/100))/($M$5+$M$6))*$M$5)
+((((O11*8.34*$O$7*($O$3/100))*($O$4/100))/($O$5+$O$6))*$O$5)
+((((P11*8.34*$P$7*($P$3/100))*($P$4/100))/($P$5+$P$6))*$P$5)
+((((Q11*8.34*$Q$7*($Q$3/100))*($Q$4/100))/($Q$5+$Q$6))*$Q$5)
+((((U11*8.34*$U$7*($U$3/100))*($U$4/100))/($U$5+$U$6))*$U$5)
+(((((V11*$V$2)*8.34*$V$7*($V$3/100))*($V$4/100))/($V$5+$V$6))*$V$5)
+((((W11*8.34*$W$7*($W$3/100))*($W$4/100))/($W$5+$W$6))*$W$5)
+((((X11*8.34*$X$7*($X$3/100))*($X$4/100))/($X$5+$X$6))*$X$5)</f>
        <v>4753.655254308881</v>
      </c>
      <c r="AM11" s="102">
        <f t="shared" ref="AM11:AM41" si="8">((((B11*8.34*$B$7*($B$3/100))*($B$4/100))/($B$5+$B$6))*$B$6)
+((((C11*8.34*$C$7*($C$3/100))*($C$4/100))/($C$5+$C$6))*$C$6)
+((((D11*8.34*$D$7*($D$3/100))*($D$4/100))/($D$5+$D$6))*$D$6)
+((((E11*8.34*$E$7*($E$3/100))*($E$4/100))/($E$5+$E$6))*$E$6)
+((((F11*8.34*$F$7*($F$3/100))*($F$4/100))/($F$5+$F$6))*$F$6)
+((((G11*8.34*$G$7*($G$3/100))*($G$4/100))/($G$5+$G$6))*$G$6)
+((((H11*8.34*$H$7*($H$3/100))*($H$4/100))/($H$5+$H$6))*$H$6)
+((((I11*8.34*$I$7*($I$3/100))*($I$4/100))/($I$5+$I$6))*$I$6)
+((((J11*8.34*$J$7*($J$3/100))*($J$4/100))/($J$5+$J$6))*$J$6)
+((((K11*8.34*$K$7*($K$3/100))*($K$4/100))/($K$5+$K$6))*$K$6)
+((((L11*8.34*$L$7*($L$3/100))*($L$4/100))/($L$5+$L$6))*$L$6)
+((((M11*8.34*$M$7*($M$3/100))*($M$4/100))/($M$5+$M$6))*$M$6)
+((((O11*8.34*$O$7*($O$3/100))*($O$4/100))/($O$5+$O$6))*$O$6)
+((((P11*8.34*$P$7*($P$3/100))*($P$4/100))/($P$5+$P$6))*$P$6)
+((((Q11*8.34*$Q$7*($Q$3/100))*($Q$4/100))/($Q$5+$Q$6))*$Q$6)
+((((U11*8.34*$U$7*($U$3/100))*($U$4/100))/($U$5+$U$6))*$U$6)
+(((((V11*$V$2) *8.34*$V$7*($V$3/100))*($V$4/100))/($V$5+$V$6))*$V$6)
+((((W11*8.34*$W$7*($W$3/100))*($W$4/100))/($W$5+$W$6))*$W$6)
+((((X11*8.34*$X$7*($X$3/100))*($X$4/100))/($X$5+$X$6))*$X$6)</f>
        <v>298.68838969111971</v>
      </c>
      <c r="AN11" s="46">
        <f>((AL11+AM11)/AM11)-1</f>
        <v>15.915098873527494</v>
      </c>
      <c r="AO11" s="68">
        <v>1</v>
      </c>
      <c r="AQ11" s="18">
        <f>(B11*($B$3/100)*($B$4/100)*$B$7*8.34*0.000453592*$B$8)+
(C11*($C$3/100)*($C$4/100)*$C$7*8.34*0.000453592*$C$8)+
(D11*($D$3/100)*($D$4/100)*$D$7*8.34*0.000453592*$D$8)+
(E11*($E$3/100)*($E$4/100)*$E$7*8.34*0.000453592*$E$8)+
(F11*($F$3/100)*($F$4/100)*$F$7*8.34*0.000453592*$F$8)+
(G11*($G$3/100)*($G$4/100)*$G$7*8.34*0.000453592*$G$8)+
(H11*($H$3/100)*($H$4/100)*$H$7*8.34*0.000453592*$H$8)+
(I11*($I$3/100)*($I$4/100)*$I$7*8.34*0.000453592*$I$8)+
(J11*($J$3/100)*($J$4/100)*$J$7*8.34*0.000453592*$J$8)+
(K11*($K$3/100)*($K$4/100)*$K$7*8.34*0.000453592*$K$8)+
(L11*($L$3/100)*($L$4/100)*$L$7*8.34*0.000453592*$L$8)+
(M11*($M$3/100)*($M$4/100)*$M$7*8.34*0.000453592*$M$8)+
(O11*($O$3/100)*($O$4/100)*$O$7*8.34*0.000453592*$O$8)+
(P11*($P$3/100)*($P$4/100)*$P$7*8.34*0.000453592*$P$8)+
(Q11*($Q$3/100)*($Q$4/100)*$Q$7*8.34*0.000453592*$Q$8)+
(U11*($U$3/100)*($U$4/100)*$U$7*8.34*0.000453592*$U$8)+
(V11*$V$2*($V$3/100)*($BV$4/100)*$V$7*8.34*0.000453592*$V$8)+
(W11*($W$3/100)*($W$4/100)*$W$7*8.34*0.000453592*$W$8)+
(X11*($X$3/100)*($X$4/100)*$X$7*8.34*0.000453592*$X$8)</f>
        <v>1025.89640180592</v>
      </c>
      <c r="AR11" s="18">
        <f>AQ11*$AR$3*10*$AR$6</f>
        <v>2388.2868234041821</v>
      </c>
      <c r="AU11" s="40"/>
    </row>
    <row r="12" spans="1:47">
      <c r="A12">
        <v>2</v>
      </c>
      <c r="B12" s="24">
        <v>4000</v>
      </c>
      <c r="C12" s="25">
        <v>2000</v>
      </c>
      <c r="D12" s="25">
        <v>1200</v>
      </c>
      <c r="E12" s="76">
        <v>0</v>
      </c>
      <c r="F12" s="76">
        <v>0</v>
      </c>
      <c r="G12" s="59">
        <v>0</v>
      </c>
      <c r="H12" s="59">
        <v>0</v>
      </c>
      <c r="I12" s="59">
        <v>0</v>
      </c>
      <c r="J12" s="25">
        <v>4200</v>
      </c>
      <c r="K12" s="59">
        <v>0</v>
      </c>
      <c r="L12" s="59">
        <v>0</v>
      </c>
      <c r="M12" s="59">
        <v>0</v>
      </c>
      <c r="N12" s="8">
        <v>2</v>
      </c>
      <c r="O12" s="24">
        <v>1000</v>
      </c>
      <c r="P12" s="78">
        <v>0</v>
      </c>
      <c r="Q12" s="59">
        <v>0</v>
      </c>
      <c r="R12" s="25">
        <v>20</v>
      </c>
      <c r="S12" s="59">
        <v>0</v>
      </c>
      <c r="T12" s="76">
        <v>0</v>
      </c>
      <c r="U12" s="25">
        <v>800</v>
      </c>
      <c r="V12" s="76">
        <v>0</v>
      </c>
      <c r="W12" s="78">
        <v>0</v>
      </c>
      <c r="X12" s="76">
        <v>0</v>
      </c>
      <c r="Y12" s="76">
        <v>0</v>
      </c>
      <c r="Z12" s="44"/>
      <c r="AB12" s="10">
        <f t="shared" si="0"/>
        <v>11400</v>
      </c>
      <c r="AC12" s="34">
        <f>O12+P12+Q12+R12+U12+(V12*$V$2)+W12+X12+Y12</f>
        <v>1820</v>
      </c>
      <c r="AD12" s="10">
        <f t="shared" si="1"/>
        <v>13220</v>
      </c>
      <c r="AE12" s="72">
        <f t="shared" si="2"/>
        <v>86.232980332829044</v>
      </c>
      <c r="AF12" s="72">
        <f t="shared" si="3"/>
        <v>13.767019667170953</v>
      </c>
      <c r="AH12" s="70">
        <f t="shared" si="4"/>
        <v>6640.1612160000004</v>
      </c>
      <c r="AI12" s="17">
        <f t="shared" si="5"/>
        <v>9.6373892830188684E-2</v>
      </c>
      <c r="AJ12" s="17">
        <f t="shared" si="6"/>
        <v>2.094688080757098E-2</v>
      </c>
      <c r="AL12" s="102">
        <f t="shared" si="7"/>
        <v>6110.0011388957537</v>
      </c>
      <c r="AM12" s="102">
        <f t="shared" si="8"/>
        <v>530.16007710424708</v>
      </c>
      <c r="AN12" s="46">
        <f t="shared" ref="AN12:AN41" si="9">((AL12+AM12)/AM12)-1</f>
        <v>11.524823167124906</v>
      </c>
      <c r="AO12" s="68">
        <v>1</v>
      </c>
      <c r="AQ12" s="18">
        <f t="shared" ref="AQ12:AQ41" si="10">(B12*($B$3/100)*($B$4/100)*$B$7*8.34*0.000453592*$B$8)+
(C12*($C$3/100)*($C$4/100)*$C$7*8.34*0.000453592*$C$8)+
(D12*($D$3/100)*($D$4/100)*$D$7*8.34*0.000453592*$D$8)+
(E12*($E$3/100)*($E$4/100)*$E$7*8.34*0.000453592*$E$8)+
(F12*($F$3/100)*($F$4/100)*$F$7*8.34*0.000453592*$F$8)+
(G12*($G$3/100)*($G$4/100)*$G$7*8.34*0.000453592*$G$8)+
(H12*($H$3/100)*($H$4/100)*$H$7*8.34*0.000453592*$H$8)+
(I12*($I$3/100)*($I$4/100)*$I$7*8.34*0.000453592*$I$8)+
(J12*($J$3/100)*($J$4/100)*$J$7*8.34*0.000453592*$J$8)+
(K12*($K$3/100)*($K$4/100)*$K$7*8.34*0.000453592*$K$8)+
(L12*($L$3/100)*($L$4/100)*$L$7*8.34*0.000453592*$L$8)+
(M12*($M$3/100)*($M$4/100)*$M$7*8.34*0.000453592*$M$8)+
(O12*($O$3/100)*($O$4/100)*$O$7*8.34*0.000453592*$O$8)+
(P12*($P$3/100)*($P$4/100)*$P$7*8.34*0.000453592*$P$8)+
(Q12*($Q$3/100)*($Q$4/100)*$Q$7*8.34*0.000453592*$Q$8)+
(U12*($U$3/100)*($U$4/100)*$U$7*8.34*0.000453592*$U$8)+
(V12*$V$2*($V$3/100)*($BV$4/100)*$V$7*8.34*0.000453592*$V$8)+
(W12*($W$3/100)*($W$4/100)*$W$7*8.34*0.000453592*$W$8)+
(X12*($X$3/100)*($X$4/100)*$X$7*8.34*0.000453592*$X$8)</f>
        <v>947.55513949440012</v>
      </c>
      <c r="AR12" s="18">
        <f t="shared" ref="AR12:AR41" si="11">AQ12*$AR$3*10*$AR$6</f>
        <v>2205.9083647429634</v>
      </c>
      <c r="AU12" s="40"/>
    </row>
    <row r="13" spans="1:47">
      <c r="A13">
        <v>3</v>
      </c>
      <c r="B13" s="24">
        <v>4000</v>
      </c>
      <c r="C13" s="25">
        <v>2000</v>
      </c>
      <c r="D13" s="25">
        <v>1300</v>
      </c>
      <c r="E13" s="76">
        <v>0</v>
      </c>
      <c r="F13" s="76">
        <v>0</v>
      </c>
      <c r="G13" s="59">
        <v>0</v>
      </c>
      <c r="H13" s="59">
        <v>0</v>
      </c>
      <c r="I13" s="59">
        <v>0</v>
      </c>
      <c r="J13" s="25">
        <v>6580</v>
      </c>
      <c r="K13" s="59">
        <v>0</v>
      </c>
      <c r="L13" s="59">
        <v>0</v>
      </c>
      <c r="M13" s="59">
        <v>0</v>
      </c>
      <c r="N13" s="8">
        <v>3</v>
      </c>
      <c r="O13" s="24">
        <v>1000</v>
      </c>
      <c r="P13" s="25">
        <v>100</v>
      </c>
      <c r="Q13" s="59">
        <v>0</v>
      </c>
      <c r="R13" s="25">
        <v>50</v>
      </c>
      <c r="S13" s="59">
        <v>0</v>
      </c>
      <c r="T13" s="76">
        <v>0</v>
      </c>
      <c r="U13" s="25">
        <v>4400</v>
      </c>
      <c r="V13" s="30">
        <v>15</v>
      </c>
      <c r="W13" s="78">
        <v>0</v>
      </c>
      <c r="X13" s="76">
        <v>0</v>
      </c>
      <c r="Y13" s="76">
        <v>0</v>
      </c>
      <c r="Z13" s="44"/>
      <c r="AB13" s="10">
        <f t="shared" si="0"/>
        <v>13880</v>
      </c>
      <c r="AC13" s="34">
        <f t="shared" ref="AC13:AC41" si="12">O13+P13+Q13+R13+U13+(V13*$V$2)+W13+X13+Y13</f>
        <v>6090</v>
      </c>
      <c r="AD13" s="10">
        <f t="shared" si="1"/>
        <v>19970</v>
      </c>
      <c r="AE13" s="72">
        <f t="shared" si="2"/>
        <v>69.504256384576863</v>
      </c>
      <c r="AF13" s="72">
        <f t="shared" si="3"/>
        <v>30.495743615423134</v>
      </c>
      <c r="AH13" s="70">
        <f t="shared" si="4"/>
        <v>10653.930998399999</v>
      </c>
      <c r="AI13" s="17">
        <f t="shared" si="5"/>
        <v>0.15462889692888243</v>
      </c>
      <c r="AJ13" s="17">
        <f t="shared" si="6"/>
        <v>3.3608615136908514E-2</v>
      </c>
      <c r="AL13" s="102">
        <f t="shared" si="7"/>
        <v>9851.5376841969319</v>
      </c>
      <c r="AM13" s="102">
        <f t="shared" si="8"/>
        <v>802.39331420306598</v>
      </c>
      <c r="AN13" s="46">
        <f t="shared" si="9"/>
        <v>12.277691638023482</v>
      </c>
      <c r="AO13" s="68">
        <v>1</v>
      </c>
      <c r="AQ13" s="18">
        <f t="shared" si="10"/>
        <v>1736.5797797344803</v>
      </c>
      <c r="AR13" s="18">
        <f t="shared" si="11"/>
        <v>4042.7577272218705</v>
      </c>
      <c r="AU13" s="40"/>
    </row>
    <row r="14" spans="1:47">
      <c r="A14">
        <v>4</v>
      </c>
      <c r="B14" s="24">
        <v>4000</v>
      </c>
      <c r="C14" s="25">
        <v>2000</v>
      </c>
      <c r="D14" s="78">
        <v>0</v>
      </c>
      <c r="E14" s="76">
        <v>0</v>
      </c>
      <c r="F14" s="76">
        <v>0</v>
      </c>
      <c r="G14" s="59">
        <v>0</v>
      </c>
      <c r="H14" s="59">
        <v>0</v>
      </c>
      <c r="I14" s="59">
        <v>0</v>
      </c>
      <c r="J14" s="25">
        <v>1500</v>
      </c>
      <c r="K14" s="59">
        <v>0</v>
      </c>
      <c r="L14" s="59">
        <v>0</v>
      </c>
      <c r="M14" s="59">
        <v>0</v>
      </c>
      <c r="N14" s="8">
        <v>4</v>
      </c>
      <c r="O14" s="24">
        <v>4900</v>
      </c>
      <c r="P14" s="25">
        <v>300</v>
      </c>
      <c r="Q14" s="59">
        <v>0</v>
      </c>
      <c r="R14" s="78">
        <v>0</v>
      </c>
      <c r="S14" s="59">
        <v>0</v>
      </c>
      <c r="T14" s="76">
        <v>0</v>
      </c>
      <c r="U14" s="25">
        <v>1500</v>
      </c>
      <c r="V14" s="76">
        <v>0</v>
      </c>
      <c r="W14" s="78">
        <v>0</v>
      </c>
      <c r="X14" s="76">
        <v>0</v>
      </c>
      <c r="Y14" s="76">
        <v>0</v>
      </c>
      <c r="Z14" s="44"/>
      <c r="AB14" s="10">
        <f t="shared" si="0"/>
        <v>7500</v>
      </c>
      <c r="AC14" s="34">
        <f t="shared" si="12"/>
        <v>6700</v>
      </c>
      <c r="AD14" s="10">
        <f t="shared" si="1"/>
        <v>14200</v>
      </c>
      <c r="AE14" s="72">
        <f t="shared" si="2"/>
        <v>52.816901408450704</v>
      </c>
      <c r="AF14" s="72">
        <f t="shared" si="3"/>
        <v>47.183098591549296</v>
      </c>
      <c r="AH14" s="70">
        <f t="shared" si="4"/>
        <v>7443.4750200000008</v>
      </c>
      <c r="AI14" s="17">
        <f t="shared" si="5"/>
        <v>0.10803301915820031</v>
      </c>
      <c r="AJ14" s="17">
        <f t="shared" si="6"/>
        <v>2.3480993753943219E-2</v>
      </c>
      <c r="AL14" s="102">
        <f t="shared" si="7"/>
        <v>6875.3883934680234</v>
      </c>
      <c r="AM14" s="102">
        <f t="shared" si="8"/>
        <v>568.08662653197757</v>
      </c>
      <c r="AN14" s="46">
        <f t="shared" si="9"/>
        <v>12.102711228110573</v>
      </c>
      <c r="AO14" s="68">
        <v>1</v>
      </c>
      <c r="AQ14" s="18">
        <f t="shared" si="10"/>
        <v>1588.5696846758401</v>
      </c>
      <c r="AR14" s="18">
        <f t="shared" si="11"/>
        <v>3698.1902259253557</v>
      </c>
      <c r="AU14" s="40"/>
    </row>
    <row r="15" spans="1:47">
      <c r="A15">
        <v>5</v>
      </c>
      <c r="B15" s="24">
        <v>4000</v>
      </c>
      <c r="C15" s="25">
        <v>2000</v>
      </c>
      <c r="D15" s="78">
        <v>0</v>
      </c>
      <c r="E15" s="76">
        <v>0</v>
      </c>
      <c r="F15" s="76">
        <v>0</v>
      </c>
      <c r="G15" s="59">
        <v>0</v>
      </c>
      <c r="H15" s="59">
        <v>0</v>
      </c>
      <c r="I15" s="59">
        <v>0</v>
      </c>
      <c r="J15" s="25">
        <v>7000</v>
      </c>
      <c r="K15" s="59">
        <v>0</v>
      </c>
      <c r="L15" s="59">
        <v>0</v>
      </c>
      <c r="M15" s="59">
        <v>0</v>
      </c>
      <c r="N15" s="8">
        <v>5</v>
      </c>
      <c r="O15" s="80">
        <v>0</v>
      </c>
      <c r="P15" s="25">
        <v>1000</v>
      </c>
      <c r="Q15" s="59">
        <v>0</v>
      </c>
      <c r="R15" s="25">
        <v>35</v>
      </c>
      <c r="S15" s="59">
        <v>0</v>
      </c>
      <c r="T15" s="76">
        <v>0</v>
      </c>
      <c r="U15" s="25">
        <v>1000</v>
      </c>
      <c r="V15" s="76">
        <v>0</v>
      </c>
      <c r="W15" s="25">
        <v>650</v>
      </c>
      <c r="X15" s="76">
        <v>0</v>
      </c>
      <c r="Y15" s="76">
        <v>0</v>
      </c>
      <c r="Z15" s="44"/>
      <c r="AB15" s="10">
        <f t="shared" si="0"/>
        <v>13000</v>
      </c>
      <c r="AC15" s="34">
        <f t="shared" si="12"/>
        <v>2685</v>
      </c>
      <c r="AD15" s="10">
        <f t="shared" si="1"/>
        <v>15685</v>
      </c>
      <c r="AE15" s="72">
        <f t="shared" si="2"/>
        <v>82.881734140898942</v>
      </c>
      <c r="AF15" s="72">
        <f t="shared" si="3"/>
        <v>17.118265859101051</v>
      </c>
      <c r="AH15" s="70">
        <f t="shared" si="4"/>
        <v>9179.3709600000002</v>
      </c>
      <c r="AI15" s="17">
        <f t="shared" si="5"/>
        <v>0.13322744499274311</v>
      </c>
      <c r="AJ15" s="17">
        <f t="shared" si="6"/>
        <v>2.89570061829653E-2</v>
      </c>
      <c r="AL15" s="102">
        <f t="shared" si="7"/>
        <v>8594.9000045716584</v>
      </c>
      <c r="AM15" s="102">
        <f t="shared" si="8"/>
        <v>584.47095542834199</v>
      </c>
      <c r="AN15" s="46">
        <f t="shared" si="9"/>
        <v>14.705435616167962</v>
      </c>
      <c r="AO15" s="68">
        <v>1</v>
      </c>
      <c r="AQ15" s="18">
        <f t="shared" si="10"/>
        <v>2159.5162951171201</v>
      </c>
      <c r="AR15" s="18">
        <f t="shared" si="11"/>
        <v>5027.3539350326555</v>
      </c>
      <c r="AU15" s="40"/>
    </row>
    <row r="16" spans="1:47">
      <c r="A16">
        <v>6</v>
      </c>
      <c r="B16" s="80">
        <v>0</v>
      </c>
      <c r="C16" s="25">
        <v>2000</v>
      </c>
      <c r="D16" s="78">
        <v>0</v>
      </c>
      <c r="E16" s="76">
        <v>0</v>
      </c>
      <c r="F16" s="76">
        <v>0</v>
      </c>
      <c r="G16" s="59">
        <v>0</v>
      </c>
      <c r="H16" s="59">
        <v>0</v>
      </c>
      <c r="I16" s="59">
        <v>0</v>
      </c>
      <c r="J16" s="25">
        <v>7000</v>
      </c>
      <c r="K16" s="59">
        <v>0</v>
      </c>
      <c r="L16" s="59">
        <v>0</v>
      </c>
      <c r="M16" s="59">
        <v>0</v>
      </c>
      <c r="N16" s="8">
        <v>6</v>
      </c>
      <c r="O16" s="80">
        <v>0</v>
      </c>
      <c r="P16" s="25">
        <v>2300</v>
      </c>
      <c r="Q16" s="59">
        <v>0</v>
      </c>
      <c r="R16" s="25">
        <v>30</v>
      </c>
      <c r="S16" s="59">
        <v>0</v>
      </c>
      <c r="T16" s="76">
        <v>0</v>
      </c>
      <c r="U16" s="25">
        <v>1000</v>
      </c>
      <c r="V16" s="76">
        <v>0</v>
      </c>
      <c r="W16" s="78">
        <v>0</v>
      </c>
      <c r="X16" s="76">
        <v>0</v>
      </c>
      <c r="Y16" s="76">
        <v>0</v>
      </c>
      <c r="Z16" s="44"/>
      <c r="AB16" s="10">
        <f t="shared" si="0"/>
        <v>9000</v>
      </c>
      <c r="AC16" s="34">
        <f t="shared" si="12"/>
        <v>3330</v>
      </c>
      <c r="AD16" s="10">
        <f t="shared" si="1"/>
        <v>12330</v>
      </c>
      <c r="AE16" s="72">
        <f t="shared" si="2"/>
        <v>72.992700729927009</v>
      </c>
      <c r="AF16" s="72">
        <f t="shared" si="3"/>
        <v>27.007299270072991</v>
      </c>
      <c r="AH16" s="70">
        <f t="shared" si="4"/>
        <v>11441.262360000001</v>
      </c>
      <c r="AI16" s="17">
        <f t="shared" si="5"/>
        <v>0.16605605747460089</v>
      </c>
      <c r="AJ16" s="17">
        <f t="shared" si="6"/>
        <v>3.6092310283911674E-2</v>
      </c>
      <c r="AL16" s="102">
        <f t="shared" si="7"/>
        <v>10936.429537669255</v>
      </c>
      <c r="AM16" s="102">
        <f t="shared" si="8"/>
        <v>504.83282233074658</v>
      </c>
      <c r="AN16" s="46">
        <f t="shared" si="9"/>
        <v>21.663467694468046</v>
      </c>
      <c r="AO16" s="68">
        <v>1</v>
      </c>
      <c r="AQ16" s="18">
        <f t="shared" si="10"/>
        <v>3434.4939531100804</v>
      </c>
      <c r="AR16" s="18">
        <f t="shared" si="11"/>
        <v>7995.5019228402671</v>
      </c>
      <c r="AU16" s="40"/>
    </row>
    <row r="17" spans="1:47">
      <c r="A17">
        <v>7</v>
      </c>
      <c r="B17" s="24">
        <v>4000</v>
      </c>
      <c r="C17" s="25">
        <v>2000</v>
      </c>
      <c r="D17" s="25">
        <v>1300</v>
      </c>
      <c r="E17" s="76">
        <v>0</v>
      </c>
      <c r="F17" s="30">
        <v>1300</v>
      </c>
      <c r="G17" s="59">
        <v>0</v>
      </c>
      <c r="H17" s="59">
        <v>0</v>
      </c>
      <c r="I17" s="59">
        <v>0</v>
      </c>
      <c r="J17" s="25">
        <v>8000</v>
      </c>
      <c r="K17" s="59">
        <v>0</v>
      </c>
      <c r="L17" s="59">
        <v>0</v>
      </c>
      <c r="M17" s="59">
        <v>0</v>
      </c>
      <c r="N17" s="8">
        <v>7</v>
      </c>
      <c r="O17" s="24">
        <v>4800</v>
      </c>
      <c r="P17" s="25">
        <v>4000</v>
      </c>
      <c r="Q17" s="59">
        <v>0</v>
      </c>
      <c r="R17" s="25">
        <v>30</v>
      </c>
      <c r="S17" s="59">
        <v>0</v>
      </c>
      <c r="T17" s="76">
        <v>0</v>
      </c>
      <c r="U17" s="78">
        <v>0</v>
      </c>
      <c r="V17" s="76">
        <v>0</v>
      </c>
      <c r="W17" s="78">
        <v>0</v>
      </c>
      <c r="X17" s="76">
        <v>0</v>
      </c>
      <c r="Y17" s="76">
        <v>0</v>
      </c>
      <c r="Z17" s="44"/>
      <c r="AB17" s="10">
        <f t="shared" si="0"/>
        <v>16600</v>
      </c>
      <c r="AC17" s="34">
        <f t="shared" si="12"/>
        <v>8830</v>
      </c>
      <c r="AD17" s="10">
        <f t="shared" si="1"/>
        <v>25430</v>
      </c>
      <c r="AE17" s="72">
        <f t="shared" si="2"/>
        <v>65.277231616201334</v>
      </c>
      <c r="AF17" s="72">
        <f t="shared" si="3"/>
        <v>34.722768383798666</v>
      </c>
      <c r="AH17" s="70">
        <f t="shared" si="4"/>
        <v>25608.70809</v>
      </c>
      <c r="AI17" s="17">
        <f t="shared" si="5"/>
        <v>0.37167936269956459</v>
      </c>
      <c r="AJ17" s="17">
        <f t="shared" si="6"/>
        <v>8.0784568107255525E-2</v>
      </c>
      <c r="AL17" s="102">
        <f t="shared" si="7"/>
        <v>24405.62666986723</v>
      </c>
      <c r="AM17" s="102">
        <f t="shared" si="8"/>
        <v>1203.0814201327698</v>
      </c>
      <c r="AN17" s="46">
        <f t="shared" si="9"/>
        <v>20.285930994740049</v>
      </c>
      <c r="AO17" s="68">
        <v>1</v>
      </c>
      <c r="AQ17" s="18">
        <f t="shared" si="10"/>
        <v>7113.11017828278</v>
      </c>
      <c r="AR17" s="18">
        <f t="shared" si="11"/>
        <v>16559.320495042313</v>
      </c>
      <c r="AU17" s="40"/>
    </row>
    <row r="18" spans="1:47">
      <c r="A18">
        <v>8</v>
      </c>
      <c r="B18" s="24">
        <v>1800</v>
      </c>
      <c r="C18" s="25">
        <v>2000</v>
      </c>
      <c r="D18" s="78">
        <v>0</v>
      </c>
      <c r="E18" s="76">
        <v>0</v>
      </c>
      <c r="F18" s="76">
        <v>0</v>
      </c>
      <c r="G18" s="59">
        <v>0</v>
      </c>
      <c r="H18" s="59">
        <v>0</v>
      </c>
      <c r="I18" s="59">
        <v>0</v>
      </c>
      <c r="J18" s="25">
        <v>8000</v>
      </c>
      <c r="K18" s="59">
        <v>0</v>
      </c>
      <c r="L18" s="59">
        <v>0</v>
      </c>
      <c r="M18" s="59">
        <v>0</v>
      </c>
      <c r="N18" s="8">
        <v>8</v>
      </c>
      <c r="O18" s="24">
        <v>900</v>
      </c>
      <c r="P18" s="78">
        <v>0</v>
      </c>
      <c r="Q18" s="59">
        <v>0</v>
      </c>
      <c r="R18" s="25">
        <v>30</v>
      </c>
      <c r="S18" s="59">
        <v>0</v>
      </c>
      <c r="T18" s="76">
        <v>0</v>
      </c>
      <c r="U18" s="25">
        <v>4000</v>
      </c>
      <c r="V18" s="76">
        <v>0</v>
      </c>
      <c r="W18" s="25">
        <v>650</v>
      </c>
      <c r="X18" s="76">
        <v>0</v>
      </c>
      <c r="Y18" s="76">
        <v>0</v>
      </c>
      <c r="Z18" s="44"/>
      <c r="AB18" s="10">
        <f t="shared" si="0"/>
        <v>11800</v>
      </c>
      <c r="AC18" s="34">
        <f t="shared" si="12"/>
        <v>5580</v>
      </c>
      <c r="AD18" s="10">
        <f t="shared" si="1"/>
        <v>17380</v>
      </c>
      <c r="AE18" s="72">
        <f t="shared" si="2"/>
        <v>67.894131185270425</v>
      </c>
      <c r="AF18" s="72">
        <f t="shared" si="3"/>
        <v>32.105868814729575</v>
      </c>
      <c r="AH18" s="70">
        <f t="shared" si="4"/>
        <v>6476.6855400000004</v>
      </c>
      <c r="AI18" s="17">
        <f t="shared" si="5"/>
        <v>9.4001241509433967E-2</v>
      </c>
      <c r="AJ18" s="17">
        <f t="shared" si="6"/>
        <v>2.0431184668769718E-2</v>
      </c>
      <c r="AL18" s="102">
        <f t="shared" si="7"/>
        <v>5809.122199903476</v>
      </c>
      <c r="AM18" s="102">
        <f t="shared" si="8"/>
        <v>667.56334009652505</v>
      </c>
      <c r="AN18" s="46">
        <f t="shared" si="9"/>
        <v>8.7019790497535663</v>
      </c>
      <c r="AO18" s="68">
        <v>1</v>
      </c>
      <c r="AQ18" s="18">
        <f t="shared" si="10"/>
        <v>1248.608175976992</v>
      </c>
      <c r="AR18" s="18">
        <f t="shared" si="11"/>
        <v>2906.7598336744377</v>
      </c>
      <c r="AU18" s="40"/>
    </row>
    <row r="19" spans="1:47">
      <c r="A19">
        <v>9</v>
      </c>
      <c r="B19" s="24">
        <v>4000</v>
      </c>
      <c r="C19" s="25">
        <v>2000</v>
      </c>
      <c r="D19" s="78">
        <v>0</v>
      </c>
      <c r="E19" s="76">
        <v>0</v>
      </c>
      <c r="F19" s="76">
        <v>0</v>
      </c>
      <c r="G19" s="59">
        <v>0</v>
      </c>
      <c r="H19" s="59">
        <v>0</v>
      </c>
      <c r="I19" s="59">
        <v>0</v>
      </c>
      <c r="J19" s="25">
        <v>4000</v>
      </c>
      <c r="K19" s="59">
        <v>0</v>
      </c>
      <c r="L19" s="59">
        <v>0</v>
      </c>
      <c r="M19" s="59">
        <v>0</v>
      </c>
      <c r="N19" s="8">
        <v>9</v>
      </c>
      <c r="O19" s="24">
        <v>900</v>
      </c>
      <c r="P19" s="25">
        <v>1000</v>
      </c>
      <c r="Q19" s="59">
        <v>0</v>
      </c>
      <c r="R19" s="25">
        <v>30</v>
      </c>
      <c r="S19" s="59">
        <v>0</v>
      </c>
      <c r="T19" s="76">
        <v>0</v>
      </c>
      <c r="U19" s="25">
        <v>2000</v>
      </c>
      <c r="V19" s="76">
        <v>0</v>
      </c>
      <c r="W19" s="25">
        <v>325</v>
      </c>
      <c r="X19" s="76">
        <v>0</v>
      </c>
      <c r="Y19" s="76">
        <v>0</v>
      </c>
      <c r="Z19" s="44"/>
      <c r="AB19" s="10">
        <f t="shared" si="0"/>
        <v>10000</v>
      </c>
      <c r="AC19" s="34">
        <f t="shared" si="12"/>
        <v>4255</v>
      </c>
      <c r="AD19" s="10">
        <f t="shared" si="1"/>
        <v>14255</v>
      </c>
      <c r="AE19" s="72">
        <f t="shared" si="2"/>
        <v>70.150824272185204</v>
      </c>
      <c r="AF19" s="72">
        <f t="shared" si="3"/>
        <v>29.849175727814803</v>
      </c>
      <c r="AH19" s="70">
        <f t="shared" si="4"/>
        <v>9358.5475200000001</v>
      </c>
      <c r="AI19" s="17">
        <f t="shared" si="5"/>
        <v>0.13582797561683599</v>
      </c>
      <c r="AJ19" s="17">
        <f t="shared" si="6"/>
        <v>2.952223192429022E-2</v>
      </c>
      <c r="AL19" s="102">
        <f t="shared" si="7"/>
        <v>8850.9100757685701</v>
      </c>
      <c r="AM19" s="102">
        <f t="shared" si="8"/>
        <v>507.63744423143089</v>
      </c>
      <c r="AN19" s="46">
        <f t="shared" si="9"/>
        <v>17.435494911469647</v>
      </c>
      <c r="AO19" s="68">
        <v>1</v>
      </c>
      <c r="AQ19" s="18">
        <f t="shared" si="10"/>
        <v>2336.3960286580805</v>
      </c>
      <c r="AR19" s="18">
        <f t="shared" si="11"/>
        <v>5439.1299547160115</v>
      </c>
      <c r="AU19" s="40"/>
    </row>
    <row r="20" spans="1:47">
      <c r="A20">
        <v>10</v>
      </c>
      <c r="B20" s="24">
        <v>4000</v>
      </c>
      <c r="C20" s="25">
        <v>2000</v>
      </c>
      <c r="D20" s="78">
        <v>0</v>
      </c>
      <c r="E20" s="76">
        <v>0</v>
      </c>
      <c r="F20" s="76">
        <v>0</v>
      </c>
      <c r="G20" s="59">
        <v>0</v>
      </c>
      <c r="H20" s="59">
        <v>0</v>
      </c>
      <c r="I20" s="59">
        <v>0</v>
      </c>
      <c r="J20" s="25">
        <v>4000</v>
      </c>
      <c r="K20" s="59">
        <v>0</v>
      </c>
      <c r="L20" s="59">
        <v>0</v>
      </c>
      <c r="M20" s="59">
        <v>0</v>
      </c>
      <c r="N20" s="8">
        <v>10</v>
      </c>
      <c r="O20" s="24">
        <v>1000</v>
      </c>
      <c r="P20" s="78">
        <v>0</v>
      </c>
      <c r="Q20" s="59">
        <v>0</v>
      </c>
      <c r="R20" s="25">
        <v>30</v>
      </c>
      <c r="S20" s="59">
        <v>0</v>
      </c>
      <c r="T20" s="76">
        <v>0</v>
      </c>
      <c r="U20" s="25">
        <v>2000</v>
      </c>
      <c r="V20" s="30">
        <v>12</v>
      </c>
      <c r="W20" s="78">
        <v>0</v>
      </c>
      <c r="X20" s="76"/>
      <c r="Y20" s="76">
        <v>0</v>
      </c>
      <c r="Z20" s="44"/>
      <c r="AB20" s="10">
        <f t="shared" si="0"/>
        <v>10000</v>
      </c>
      <c r="AC20" s="34">
        <f t="shared" si="12"/>
        <v>3462</v>
      </c>
      <c r="AD20" s="10">
        <f t="shared" si="1"/>
        <v>13462</v>
      </c>
      <c r="AE20" s="72">
        <f t="shared" si="2"/>
        <v>74.283167434259397</v>
      </c>
      <c r="AF20" s="72">
        <f t="shared" si="3"/>
        <v>25.716832565740603</v>
      </c>
      <c r="AH20" s="70">
        <f t="shared" si="4"/>
        <v>6339.5509200000006</v>
      </c>
      <c r="AI20" s="17">
        <f t="shared" si="5"/>
        <v>9.2010898693759086E-2</v>
      </c>
      <c r="AJ20" s="17">
        <f t="shared" si="6"/>
        <v>1.9998583343848582E-2</v>
      </c>
      <c r="AL20" s="102">
        <f t="shared" si="7"/>
        <v>5831.6985074517379</v>
      </c>
      <c r="AM20" s="102">
        <f t="shared" si="8"/>
        <v>507.85241254826258</v>
      </c>
      <c r="AN20" s="46">
        <f t="shared" si="9"/>
        <v>11.4830576036646</v>
      </c>
      <c r="AO20" s="68">
        <v>1</v>
      </c>
      <c r="AQ20" s="7">
        <f t="shared" si="10"/>
        <v>915.84639157344009</v>
      </c>
      <c r="AR20" s="7">
        <f t="shared" si="11"/>
        <v>2132.0903995829685</v>
      </c>
      <c r="AU20" s="40"/>
    </row>
    <row r="21" spans="1:47" s="35" customFormat="1">
      <c r="A21" s="35">
        <v>11</v>
      </c>
      <c r="B21" s="30">
        <v>4000</v>
      </c>
      <c r="C21" s="30">
        <v>2000</v>
      </c>
      <c r="D21" s="76">
        <v>0</v>
      </c>
      <c r="E21" s="76">
        <v>0</v>
      </c>
      <c r="F21" s="76">
        <v>0</v>
      </c>
      <c r="G21" s="59">
        <v>0</v>
      </c>
      <c r="H21" s="59">
        <v>0</v>
      </c>
      <c r="I21" s="59">
        <v>0</v>
      </c>
      <c r="J21" s="30">
        <v>4000</v>
      </c>
      <c r="K21" s="59">
        <v>0</v>
      </c>
      <c r="L21" s="59">
        <v>0</v>
      </c>
      <c r="M21" s="59">
        <v>0</v>
      </c>
      <c r="N21" s="53">
        <v>11</v>
      </c>
      <c r="O21" s="51">
        <f>800+4000</f>
        <v>4800</v>
      </c>
      <c r="P21" s="76">
        <v>0</v>
      </c>
      <c r="Q21" s="59">
        <v>0</v>
      </c>
      <c r="R21" s="30">
        <v>30</v>
      </c>
      <c r="S21" s="59">
        <v>0</v>
      </c>
      <c r="T21" s="76">
        <v>0</v>
      </c>
      <c r="U21" s="30">
        <v>1000</v>
      </c>
      <c r="V21" s="76">
        <v>0</v>
      </c>
      <c r="W21" s="76">
        <v>0</v>
      </c>
      <c r="X21" s="76">
        <v>0</v>
      </c>
      <c r="Y21" s="76">
        <v>0</v>
      </c>
      <c r="Z21" s="44"/>
      <c r="AB21" s="34">
        <f t="shared" si="0"/>
        <v>10000</v>
      </c>
      <c r="AC21" s="34">
        <f t="shared" si="12"/>
        <v>5830</v>
      </c>
      <c r="AD21" s="34">
        <f t="shared" si="1"/>
        <v>15830</v>
      </c>
      <c r="AE21" s="73">
        <f t="shared" si="2"/>
        <v>63.171193935565384</v>
      </c>
      <c r="AF21" s="73">
        <f t="shared" si="3"/>
        <v>36.828806064434616</v>
      </c>
      <c r="AH21" s="71">
        <f t="shared" si="4"/>
        <v>6459.9805200000001</v>
      </c>
      <c r="AI21" s="54">
        <f t="shared" si="5"/>
        <v>9.3758788388969519E-2</v>
      </c>
      <c r="AJ21" s="54">
        <f t="shared" si="6"/>
        <v>2.0378487444794952E-2</v>
      </c>
      <c r="AL21" s="103">
        <f t="shared" si="7"/>
        <v>5800.6101645945955</v>
      </c>
      <c r="AM21" s="103">
        <f t="shared" si="8"/>
        <v>659.37035540540535</v>
      </c>
      <c r="AN21" s="46">
        <f t="shared" si="9"/>
        <v>8.7971958657864828</v>
      </c>
      <c r="AO21" s="69">
        <v>1</v>
      </c>
      <c r="AQ21" s="36">
        <f t="shared" si="10"/>
        <v>1086.9117197750402</v>
      </c>
      <c r="AR21" s="36">
        <f t="shared" si="11"/>
        <v>2530.3304836362936</v>
      </c>
      <c r="AU21" s="55"/>
    </row>
    <row r="22" spans="1:47" s="35" customFormat="1">
      <c r="A22" s="35">
        <v>12</v>
      </c>
      <c r="B22" s="30">
        <v>4000</v>
      </c>
      <c r="C22" s="30">
        <v>2000</v>
      </c>
      <c r="D22" s="76">
        <v>0</v>
      </c>
      <c r="E22" s="76">
        <v>0</v>
      </c>
      <c r="F22" s="76">
        <v>0</v>
      </c>
      <c r="G22" s="59">
        <v>0</v>
      </c>
      <c r="H22" s="59">
        <v>0</v>
      </c>
      <c r="I22" s="59">
        <v>0</v>
      </c>
      <c r="J22" s="30">
        <f>2000+2000</f>
        <v>4000</v>
      </c>
      <c r="K22" s="59">
        <v>0</v>
      </c>
      <c r="L22" s="59">
        <v>0</v>
      </c>
      <c r="M22" s="59">
        <v>0</v>
      </c>
      <c r="N22" s="53">
        <v>12</v>
      </c>
      <c r="O22" s="81">
        <v>0</v>
      </c>
      <c r="P22" s="30">
        <v>1000</v>
      </c>
      <c r="Q22" s="59">
        <v>0</v>
      </c>
      <c r="R22" s="30">
        <v>30</v>
      </c>
      <c r="S22" s="59">
        <v>0</v>
      </c>
      <c r="T22" s="76">
        <v>0</v>
      </c>
      <c r="U22" s="30">
        <v>1000</v>
      </c>
      <c r="V22" s="76">
        <v>0</v>
      </c>
      <c r="W22" s="76">
        <v>0</v>
      </c>
      <c r="X22" s="76">
        <v>0</v>
      </c>
      <c r="Y22" s="76">
        <v>0</v>
      </c>
      <c r="Z22" s="44"/>
      <c r="AB22" s="34">
        <f t="shared" si="0"/>
        <v>10000</v>
      </c>
      <c r="AC22" s="34">
        <f t="shared" si="12"/>
        <v>2030</v>
      </c>
      <c r="AD22" s="34">
        <f t="shared" si="1"/>
        <v>12030</v>
      </c>
      <c r="AE22" s="73">
        <f t="shared" si="2"/>
        <v>83.125519534497087</v>
      </c>
      <c r="AF22" s="73">
        <f t="shared" si="3"/>
        <v>16.874480465502909</v>
      </c>
      <c r="AH22" s="71">
        <f t="shared" si="4"/>
        <v>8241.9049200000009</v>
      </c>
      <c r="AI22" s="54">
        <f t="shared" si="5"/>
        <v>0.11962126153846155</v>
      </c>
      <c r="AJ22" s="54">
        <f t="shared" si="6"/>
        <v>2.5999700063091484E-2</v>
      </c>
      <c r="AL22" s="103">
        <f t="shared" si="7"/>
        <v>7821.9685329114263</v>
      </c>
      <c r="AM22" s="103">
        <f t="shared" si="8"/>
        <v>419.93638708857378</v>
      </c>
      <c r="AN22" s="46">
        <f t="shared" si="9"/>
        <v>18.62655576750867</v>
      </c>
      <c r="AO22" s="69">
        <v>1</v>
      </c>
      <c r="AQ22" s="36">
        <f t="shared" si="10"/>
        <v>1996.6372864694401</v>
      </c>
      <c r="AR22" s="36">
        <f t="shared" si="11"/>
        <v>4648.1716029008567</v>
      </c>
      <c r="AU22" s="55"/>
    </row>
    <row r="23" spans="1:47" s="35" customFormat="1">
      <c r="A23" s="35">
        <v>13</v>
      </c>
      <c r="B23" s="30">
        <v>4000</v>
      </c>
      <c r="C23" s="30">
        <v>2000</v>
      </c>
      <c r="D23" s="76">
        <v>0</v>
      </c>
      <c r="E23" s="76">
        <v>0</v>
      </c>
      <c r="F23" s="76">
        <v>0</v>
      </c>
      <c r="G23" s="59">
        <v>0</v>
      </c>
      <c r="H23" s="59">
        <v>0</v>
      </c>
      <c r="I23" s="59">
        <v>0</v>
      </c>
      <c r="J23" s="30">
        <f>2000+2000</f>
        <v>4000</v>
      </c>
      <c r="K23" s="59">
        <v>0</v>
      </c>
      <c r="L23" s="59">
        <v>0</v>
      </c>
      <c r="M23" s="59">
        <v>0</v>
      </c>
      <c r="N23" s="53">
        <v>13</v>
      </c>
      <c r="O23" s="81">
        <v>0</v>
      </c>
      <c r="P23" s="30">
        <v>1000</v>
      </c>
      <c r="Q23" s="59">
        <v>0</v>
      </c>
      <c r="R23" s="76">
        <v>0</v>
      </c>
      <c r="S23" s="59">
        <v>0</v>
      </c>
      <c r="T23" s="76">
        <v>0</v>
      </c>
      <c r="U23" s="30">
        <v>800</v>
      </c>
      <c r="V23" s="76">
        <v>0</v>
      </c>
      <c r="W23" s="76">
        <v>0</v>
      </c>
      <c r="X23" s="30">
        <v>2</v>
      </c>
      <c r="Y23" s="76">
        <v>0</v>
      </c>
      <c r="Z23" s="44"/>
      <c r="AB23" s="34">
        <f t="shared" si="0"/>
        <v>10000</v>
      </c>
      <c r="AC23" s="34">
        <f t="shared" si="12"/>
        <v>1802</v>
      </c>
      <c r="AD23" s="34">
        <f t="shared" si="1"/>
        <v>11802</v>
      </c>
      <c r="AE23" s="73">
        <f t="shared" si="2"/>
        <v>84.731401457380102</v>
      </c>
      <c r="AF23" s="73">
        <f t="shared" si="3"/>
        <v>15.268598542619895</v>
      </c>
      <c r="AH23" s="71">
        <f t="shared" si="4"/>
        <v>8145.2443200000007</v>
      </c>
      <c r="AI23" s="54">
        <f t="shared" si="5"/>
        <v>0.11821835007256895</v>
      </c>
      <c r="AJ23" s="54">
        <f t="shared" si="6"/>
        <v>2.5694777034700318E-2</v>
      </c>
      <c r="AL23" s="103">
        <f t="shared" si="7"/>
        <v>7730.445878365972</v>
      </c>
      <c r="AM23" s="103">
        <f t="shared" si="8"/>
        <v>414.79844163402828</v>
      </c>
      <c r="AN23" s="46">
        <f t="shared" si="9"/>
        <v>18.636631921550112</v>
      </c>
      <c r="AO23" s="69">
        <v>1</v>
      </c>
      <c r="AQ23" s="36">
        <f t="shared" si="10"/>
        <v>1967.2399254465602</v>
      </c>
      <c r="AR23" s="36">
        <f t="shared" si="11"/>
        <v>4579.7345464395921</v>
      </c>
      <c r="AU23" s="55"/>
    </row>
    <row r="24" spans="1:47" s="35" customFormat="1">
      <c r="A24" s="35">
        <v>14</v>
      </c>
      <c r="B24" s="30">
        <v>4000</v>
      </c>
      <c r="C24" s="30">
        <v>2000</v>
      </c>
      <c r="D24" s="30">
        <v>1300</v>
      </c>
      <c r="E24" s="76">
        <v>0</v>
      </c>
      <c r="F24" s="76">
        <v>0</v>
      </c>
      <c r="G24" s="59">
        <v>0</v>
      </c>
      <c r="H24" s="59">
        <v>0</v>
      </c>
      <c r="I24" s="59">
        <v>0</v>
      </c>
      <c r="J24" s="30">
        <v>1000</v>
      </c>
      <c r="K24" s="59">
        <v>0</v>
      </c>
      <c r="L24" s="59">
        <v>0</v>
      </c>
      <c r="M24" s="59">
        <v>0</v>
      </c>
      <c r="N24" s="53">
        <v>14</v>
      </c>
      <c r="O24" s="51">
        <f>600+4000</f>
        <v>4600</v>
      </c>
      <c r="P24" s="30">
        <v>1500</v>
      </c>
      <c r="Q24" s="59">
        <v>0</v>
      </c>
      <c r="R24" s="30">
        <v>20</v>
      </c>
      <c r="S24" s="59">
        <v>0</v>
      </c>
      <c r="T24" s="76">
        <v>0</v>
      </c>
      <c r="U24" s="30">
        <v>500</v>
      </c>
      <c r="V24" s="30">
        <v>24</v>
      </c>
      <c r="W24" s="30">
        <f>325*2</f>
        <v>650</v>
      </c>
      <c r="X24" s="76">
        <v>0</v>
      </c>
      <c r="Y24" s="76">
        <v>0</v>
      </c>
      <c r="Z24" s="44"/>
      <c r="AB24" s="34">
        <f t="shared" si="0"/>
        <v>8300</v>
      </c>
      <c r="AC24" s="34">
        <f t="shared" si="12"/>
        <v>8134</v>
      </c>
      <c r="AD24" s="34">
        <f t="shared" si="1"/>
        <v>16434</v>
      </c>
      <c r="AE24" s="73">
        <f t="shared" si="2"/>
        <v>50.505050505050505</v>
      </c>
      <c r="AF24" s="73">
        <f t="shared" si="3"/>
        <v>49.494949494949495</v>
      </c>
      <c r="AH24" s="71">
        <f t="shared" si="4"/>
        <v>15181.94418</v>
      </c>
      <c r="AI24" s="54">
        <f t="shared" si="5"/>
        <v>0.22034752075471697</v>
      </c>
      <c r="AJ24" s="54">
        <f t="shared" si="6"/>
        <v>4.7892568391167192E-2</v>
      </c>
      <c r="AL24" s="103">
        <f t="shared" si="7"/>
        <v>14445.018816838183</v>
      </c>
      <c r="AM24" s="103">
        <f t="shared" si="8"/>
        <v>736.92536316181815</v>
      </c>
      <c r="AN24" s="46">
        <f t="shared" si="9"/>
        <v>19.601739251938685</v>
      </c>
      <c r="AO24" s="69">
        <v>1</v>
      </c>
      <c r="AQ24" s="36">
        <f t="shared" si="10"/>
        <v>3429.1164793365601</v>
      </c>
      <c r="AR24" s="36">
        <f t="shared" si="11"/>
        <v>7982.983163895512</v>
      </c>
      <c r="AU24" s="55"/>
    </row>
    <row r="25" spans="1:47" s="35" customFormat="1">
      <c r="A25" s="35">
        <v>15</v>
      </c>
      <c r="B25" s="30">
        <v>4000</v>
      </c>
      <c r="C25" s="30">
        <v>2000</v>
      </c>
      <c r="D25" s="76">
        <v>0</v>
      </c>
      <c r="E25" s="76">
        <v>0</v>
      </c>
      <c r="F25" s="76">
        <v>0</v>
      </c>
      <c r="G25" s="59">
        <v>0</v>
      </c>
      <c r="H25" s="59">
        <v>0</v>
      </c>
      <c r="I25" s="59">
        <v>0</v>
      </c>
      <c r="J25" s="30">
        <v>2000</v>
      </c>
      <c r="K25" s="59">
        <v>0</v>
      </c>
      <c r="L25" s="59">
        <v>0</v>
      </c>
      <c r="M25" s="59">
        <v>0</v>
      </c>
      <c r="N25" s="53">
        <v>15</v>
      </c>
      <c r="O25" s="51">
        <v>900</v>
      </c>
      <c r="P25" s="30">
        <v>1500</v>
      </c>
      <c r="Q25" s="59">
        <v>0</v>
      </c>
      <c r="R25" s="30">
        <f>10+10</f>
        <v>20</v>
      </c>
      <c r="S25" s="59">
        <v>0</v>
      </c>
      <c r="T25" s="76">
        <v>0</v>
      </c>
      <c r="U25" s="30">
        <v>2000</v>
      </c>
      <c r="V25" s="30">
        <v>14</v>
      </c>
      <c r="W25" s="76">
        <v>0</v>
      </c>
      <c r="X25" s="76">
        <v>0</v>
      </c>
      <c r="Y25" s="76">
        <v>0</v>
      </c>
      <c r="Z25" s="44"/>
      <c r="AB25" s="34">
        <f t="shared" si="0"/>
        <v>8000</v>
      </c>
      <c r="AC25" s="34">
        <f t="shared" si="12"/>
        <v>4924</v>
      </c>
      <c r="AD25" s="34">
        <f t="shared" si="1"/>
        <v>12924</v>
      </c>
      <c r="AE25" s="73">
        <f t="shared" si="2"/>
        <v>61.900340451872488</v>
      </c>
      <c r="AF25" s="73">
        <f t="shared" si="3"/>
        <v>38.099659548127512</v>
      </c>
      <c r="AH25" s="71">
        <f t="shared" si="4"/>
        <v>11656.100760000001</v>
      </c>
      <c r="AI25" s="54">
        <f t="shared" si="5"/>
        <v>0.16917417648766331</v>
      </c>
      <c r="AJ25" s="54">
        <f t="shared" si="6"/>
        <v>3.6770033943217671E-2</v>
      </c>
      <c r="AL25" s="103">
        <f t="shared" si="7"/>
        <v>11189.055059772545</v>
      </c>
      <c r="AM25" s="103">
        <f t="shared" si="8"/>
        <v>467.04570022745526</v>
      </c>
      <c r="AN25" s="46">
        <f t="shared" si="9"/>
        <v>23.957088255653311</v>
      </c>
      <c r="AO25" s="69">
        <v>1</v>
      </c>
      <c r="AQ25" s="36">
        <f t="shared" si="10"/>
        <v>2929.0795116302402</v>
      </c>
      <c r="AR25" s="36">
        <f t="shared" si="11"/>
        <v>6818.8971030751982</v>
      </c>
      <c r="AU25" s="55"/>
    </row>
    <row r="26" spans="1:47" s="35" customFormat="1">
      <c r="A26" s="35">
        <v>16</v>
      </c>
      <c r="B26" s="30">
        <v>4000</v>
      </c>
      <c r="C26" s="30">
        <v>2000</v>
      </c>
      <c r="D26" s="76">
        <v>0</v>
      </c>
      <c r="E26" s="76">
        <v>0</v>
      </c>
      <c r="F26" s="76">
        <v>0</v>
      </c>
      <c r="G26" s="59">
        <v>0</v>
      </c>
      <c r="H26" s="59">
        <v>0</v>
      </c>
      <c r="I26" s="59">
        <v>0</v>
      </c>
      <c r="J26" s="30">
        <v>4000</v>
      </c>
      <c r="K26" s="59">
        <v>0</v>
      </c>
      <c r="L26" s="59">
        <v>0</v>
      </c>
      <c r="M26" s="59">
        <v>0</v>
      </c>
      <c r="N26" s="53">
        <v>16</v>
      </c>
      <c r="O26" s="51">
        <v>1000</v>
      </c>
      <c r="P26" s="76">
        <v>0</v>
      </c>
      <c r="Q26" s="59">
        <v>0</v>
      </c>
      <c r="R26" s="30">
        <v>25</v>
      </c>
      <c r="S26" s="59">
        <v>0</v>
      </c>
      <c r="T26" s="76">
        <v>0</v>
      </c>
      <c r="U26" s="76">
        <v>0</v>
      </c>
      <c r="V26" s="76">
        <v>0</v>
      </c>
      <c r="W26" s="30">
        <v>325</v>
      </c>
      <c r="X26" s="76">
        <v>0</v>
      </c>
      <c r="Y26" s="76">
        <v>0</v>
      </c>
      <c r="Z26" s="44"/>
      <c r="AB26" s="34">
        <f t="shared" si="0"/>
        <v>10000</v>
      </c>
      <c r="AC26" s="34">
        <f t="shared" si="12"/>
        <v>1350</v>
      </c>
      <c r="AD26" s="34">
        <f t="shared" si="1"/>
        <v>11350</v>
      </c>
      <c r="AE26" s="73">
        <f t="shared" si="2"/>
        <v>88.105726872246692</v>
      </c>
      <c r="AF26" s="73">
        <f t="shared" si="3"/>
        <v>11.894273127753303</v>
      </c>
      <c r="AH26" s="71">
        <f t="shared" si="4"/>
        <v>4574.1397200000001</v>
      </c>
      <c r="AI26" s="54">
        <f t="shared" si="5"/>
        <v>6.6388094629898406E-2</v>
      </c>
      <c r="AJ26" s="54">
        <f t="shared" si="6"/>
        <v>1.4429462839116719E-2</v>
      </c>
      <c r="AL26" s="103">
        <f t="shared" si="7"/>
        <v>4150.3545074517378</v>
      </c>
      <c r="AM26" s="103">
        <f t="shared" si="8"/>
        <v>423.78521254826256</v>
      </c>
      <c r="AN26" s="46">
        <f t="shared" si="9"/>
        <v>9.7935331025243748</v>
      </c>
      <c r="AO26" s="69">
        <v>1</v>
      </c>
      <c r="AQ26" s="36">
        <f t="shared" si="10"/>
        <v>645.09257312928003</v>
      </c>
      <c r="AR26" s="36">
        <f t="shared" si="11"/>
        <v>1501.7755102449639</v>
      </c>
      <c r="AU26" s="55"/>
    </row>
    <row r="27" spans="1:47" s="35" customFormat="1">
      <c r="A27" s="35">
        <v>17</v>
      </c>
      <c r="B27" s="30">
        <v>4000</v>
      </c>
      <c r="C27" s="30">
        <v>2000</v>
      </c>
      <c r="D27" s="30">
        <v>1300</v>
      </c>
      <c r="E27" s="76">
        <v>0</v>
      </c>
      <c r="F27" s="76">
        <v>0</v>
      </c>
      <c r="G27" s="59">
        <v>0</v>
      </c>
      <c r="H27" s="59">
        <v>0</v>
      </c>
      <c r="I27" s="59">
        <v>0</v>
      </c>
      <c r="J27" s="76">
        <v>0</v>
      </c>
      <c r="K27" s="59">
        <v>0</v>
      </c>
      <c r="L27" s="59">
        <v>0</v>
      </c>
      <c r="M27" s="59">
        <v>0</v>
      </c>
      <c r="N27" s="53">
        <v>17</v>
      </c>
      <c r="O27" s="51">
        <v>1000</v>
      </c>
      <c r="P27" s="30">
        <v>1500</v>
      </c>
      <c r="Q27" s="59">
        <v>0</v>
      </c>
      <c r="R27" s="30">
        <v>25</v>
      </c>
      <c r="S27" s="59">
        <v>0</v>
      </c>
      <c r="T27" s="76">
        <v>0</v>
      </c>
      <c r="U27" s="30">
        <v>1000</v>
      </c>
      <c r="V27" s="30">
        <v>18</v>
      </c>
      <c r="W27" s="30">
        <v>975</v>
      </c>
      <c r="X27" s="76">
        <v>0</v>
      </c>
      <c r="Y27" s="76">
        <v>0</v>
      </c>
      <c r="Z27" s="44"/>
      <c r="AB27" s="34">
        <f t="shared" si="0"/>
        <v>7300</v>
      </c>
      <c r="AC27" s="34">
        <f t="shared" si="12"/>
        <v>5148</v>
      </c>
      <c r="AD27" s="34">
        <f t="shared" si="1"/>
        <v>12448</v>
      </c>
      <c r="AE27" s="73">
        <f t="shared" si="2"/>
        <v>58.6439588688946</v>
      </c>
      <c r="AF27" s="73">
        <f t="shared" si="3"/>
        <v>41.3560411311054</v>
      </c>
      <c r="AH27" s="71">
        <f t="shared" si="4"/>
        <v>13601.247300000001</v>
      </c>
      <c r="AI27" s="54">
        <f t="shared" si="5"/>
        <v>0.19740562119013064</v>
      </c>
      <c r="AJ27" s="54">
        <f t="shared" si="6"/>
        <v>4.2906142902208205E-2</v>
      </c>
      <c r="AL27" s="103">
        <f t="shared" si="7"/>
        <v>13117.668059618107</v>
      </c>
      <c r="AM27" s="103">
        <f t="shared" si="8"/>
        <v>483.57924038189543</v>
      </c>
      <c r="AN27" s="46">
        <f t="shared" si="9"/>
        <v>27.126201797369827</v>
      </c>
      <c r="AO27" s="69">
        <v>1</v>
      </c>
      <c r="AQ27" s="36">
        <f t="shared" si="10"/>
        <v>3269.7140084292005</v>
      </c>
      <c r="AR27" s="36">
        <f t="shared" si="11"/>
        <v>7611.8942116231792</v>
      </c>
      <c r="AU27" s="55"/>
    </row>
    <row r="28" spans="1:47">
      <c r="A28">
        <v>18</v>
      </c>
      <c r="B28" s="25">
        <v>4000</v>
      </c>
      <c r="C28" s="25">
        <v>2000</v>
      </c>
      <c r="D28" s="78">
        <v>0</v>
      </c>
      <c r="E28" s="76">
        <v>0</v>
      </c>
      <c r="F28" s="76">
        <v>0</v>
      </c>
      <c r="G28" s="59">
        <v>0</v>
      </c>
      <c r="H28" s="59">
        <v>0</v>
      </c>
      <c r="I28" s="59">
        <v>0</v>
      </c>
      <c r="J28" s="25">
        <v>500</v>
      </c>
      <c r="K28" s="59">
        <v>0</v>
      </c>
      <c r="L28" s="59">
        <v>0</v>
      </c>
      <c r="M28" s="59">
        <v>0</v>
      </c>
      <c r="N28" s="8">
        <v>18</v>
      </c>
      <c r="O28" s="24">
        <v>5000</v>
      </c>
      <c r="P28" s="25">
        <v>2265</v>
      </c>
      <c r="Q28" s="59">
        <v>0</v>
      </c>
      <c r="R28" s="25">
        <v>45</v>
      </c>
      <c r="S28" s="59">
        <v>0</v>
      </c>
      <c r="T28" s="76">
        <v>0</v>
      </c>
      <c r="U28" s="25">
        <v>1500</v>
      </c>
      <c r="V28" s="30">
        <v>14</v>
      </c>
      <c r="W28" s="78">
        <v>0</v>
      </c>
      <c r="X28" s="76">
        <v>0</v>
      </c>
      <c r="Y28" s="30">
        <v>60</v>
      </c>
      <c r="Z28" s="44" t="s">
        <v>48</v>
      </c>
      <c r="AB28" s="10">
        <f t="shared" si="0"/>
        <v>6500</v>
      </c>
      <c r="AC28" s="34">
        <f t="shared" si="12"/>
        <v>9374</v>
      </c>
      <c r="AD28" s="10">
        <f t="shared" si="1"/>
        <v>15874</v>
      </c>
      <c r="AE28" s="72">
        <f t="shared" si="2"/>
        <v>40.94746125740204</v>
      </c>
      <c r="AF28" s="72">
        <f t="shared" si="3"/>
        <v>59.05253874259796</v>
      </c>
      <c r="AH28" s="70">
        <f t="shared" si="4"/>
        <v>15603.460290000001</v>
      </c>
      <c r="AI28" s="17">
        <f t="shared" si="5"/>
        <v>0.22646531625544269</v>
      </c>
      <c r="AJ28" s="17">
        <f t="shared" si="6"/>
        <v>4.9222272208201898E-2</v>
      </c>
      <c r="AL28" s="102">
        <f t="shared" si="7"/>
        <v>14958.306690561949</v>
      </c>
      <c r="AM28" s="102">
        <f t="shared" si="8"/>
        <v>645.15359943805197</v>
      </c>
      <c r="AN28" s="46">
        <f t="shared" si="9"/>
        <v>23.185651763535194</v>
      </c>
      <c r="AO28" s="68">
        <v>1</v>
      </c>
      <c r="AQ28" s="7">
        <f t="shared" si="10"/>
        <v>4247.0088665803196</v>
      </c>
      <c r="AR28" s="7">
        <f t="shared" si="11"/>
        <v>9887.036641398985</v>
      </c>
      <c r="AU28" s="40"/>
    </row>
    <row r="29" spans="1:47">
      <c r="A29">
        <v>19</v>
      </c>
      <c r="B29" s="25">
        <v>4000</v>
      </c>
      <c r="C29" s="25">
        <v>2000</v>
      </c>
      <c r="D29" s="78">
        <v>0</v>
      </c>
      <c r="E29" s="76">
        <v>0</v>
      </c>
      <c r="F29" s="76">
        <v>0</v>
      </c>
      <c r="G29" s="59">
        <v>0</v>
      </c>
      <c r="H29" s="59">
        <v>0</v>
      </c>
      <c r="I29" s="59">
        <v>0</v>
      </c>
      <c r="J29" s="25">
        <v>6000</v>
      </c>
      <c r="K29" s="59">
        <v>0</v>
      </c>
      <c r="L29" s="59">
        <v>0</v>
      </c>
      <c r="M29" s="59">
        <v>0</v>
      </c>
      <c r="N29" s="8">
        <v>19</v>
      </c>
      <c r="O29" s="80">
        <v>0</v>
      </c>
      <c r="P29" s="25">
        <v>1500</v>
      </c>
      <c r="Q29" s="59">
        <v>0</v>
      </c>
      <c r="R29" s="25">
        <v>25</v>
      </c>
      <c r="S29" s="59">
        <v>0</v>
      </c>
      <c r="T29" s="76">
        <v>0</v>
      </c>
      <c r="U29" s="25">
        <v>2000</v>
      </c>
      <c r="V29" s="76">
        <v>0</v>
      </c>
      <c r="W29" s="78">
        <v>0</v>
      </c>
      <c r="X29" s="76">
        <v>0</v>
      </c>
      <c r="Y29" s="76">
        <v>0</v>
      </c>
      <c r="Z29" s="44"/>
      <c r="AB29" s="10">
        <f t="shared" si="0"/>
        <v>12000</v>
      </c>
      <c r="AC29" s="34">
        <f t="shared" si="12"/>
        <v>3525</v>
      </c>
      <c r="AD29" s="10">
        <f t="shared" si="1"/>
        <v>15525</v>
      </c>
      <c r="AE29" s="72">
        <f t="shared" si="2"/>
        <v>77.294685990338166</v>
      </c>
      <c r="AF29" s="72">
        <f t="shared" si="3"/>
        <v>22.705314009661837</v>
      </c>
      <c r="AH29" s="70">
        <f t="shared" si="4"/>
        <v>11013.23688</v>
      </c>
      <c r="AI29" s="17">
        <f t="shared" si="5"/>
        <v>0.15984378635703919</v>
      </c>
      <c r="AJ29" s="17">
        <f t="shared" si="6"/>
        <v>3.4742072176656154E-2</v>
      </c>
      <c r="AL29" s="102">
        <f t="shared" si="7"/>
        <v>10451.473574367139</v>
      </c>
      <c r="AM29" s="102">
        <f t="shared" si="8"/>
        <v>561.76330563286069</v>
      </c>
      <c r="AN29" s="46">
        <f t="shared" si="9"/>
        <v>18.604763731573595</v>
      </c>
      <c r="AO29" s="68">
        <v>1</v>
      </c>
      <c r="AQ29" s="7">
        <f t="shared" si="10"/>
        <v>2846.8569351494402</v>
      </c>
      <c r="AR29" s="7">
        <f t="shared" si="11"/>
        <v>6627.4829450278967</v>
      </c>
      <c r="AU29" s="40"/>
    </row>
    <row r="30" spans="1:47">
      <c r="A30">
        <v>20</v>
      </c>
      <c r="B30" s="25">
        <v>4000</v>
      </c>
      <c r="C30" s="25">
        <v>2000</v>
      </c>
      <c r="D30" s="78">
        <v>0</v>
      </c>
      <c r="E30" s="76">
        <v>0</v>
      </c>
      <c r="F30" s="76">
        <v>0</v>
      </c>
      <c r="G30" s="59">
        <v>0</v>
      </c>
      <c r="H30" s="59">
        <v>0</v>
      </c>
      <c r="I30" s="59">
        <v>0</v>
      </c>
      <c r="J30" s="25">
        <v>7000</v>
      </c>
      <c r="K30" s="59">
        <v>0</v>
      </c>
      <c r="L30" s="59">
        <v>0</v>
      </c>
      <c r="M30" s="59">
        <v>0</v>
      </c>
      <c r="N30" s="8">
        <v>20</v>
      </c>
      <c r="O30" s="80">
        <v>0</v>
      </c>
      <c r="P30" s="25">
        <v>2000</v>
      </c>
      <c r="Q30" s="59">
        <v>0</v>
      </c>
      <c r="R30" s="25">
        <v>25</v>
      </c>
      <c r="S30" s="59">
        <v>0</v>
      </c>
      <c r="T30" s="76">
        <v>0</v>
      </c>
      <c r="U30" s="25">
        <v>1400</v>
      </c>
      <c r="V30" s="76">
        <v>0</v>
      </c>
      <c r="W30" s="25">
        <v>650</v>
      </c>
      <c r="X30" s="76">
        <v>0</v>
      </c>
      <c r="Y30" s="76">
        <v>0</v>
      </c>
      <c r="Z30" s="44"/>
      <c r="AB30" s="10">
        <f t="shared" si="0"/>
        <v>13000</v>
      </c>
      <c r="AC30" s="34">
        <f t="shared" si="12"/>
        <v>4075</v>
      </c>
      <c r="AD30" s="10">
        <f t="shared" si="1"/>
        <v>17075</v>
      </c>
      <c r="AE30" s="72">
        <f t="shared" si="2"/>
        <v>76.134699853587122</v>
      </c>
      <c r="AF30" s="72">
        <f t="shared" si="3"/>
        <v>23.865300146412885</v>
      </c>
      <c r="AH30" s="70">
        <f t="shared" si="4"/>
        <v>13116.684960000001</v>
      </c>
      <c r="AI30" s="17">
        <f t="shared" si="5"/>
        <v>0.19037278606676344</v>
      </c>
      <c r="AJ30" s="17">
        <f t="shared" si="6"/>
        <v>4.1377555078864356E-2</v>
      </c>
      <c r="AL30" s="102">
        <f t="shared" si="7"/>
        <v>12484.863172888488</v>
      </c>
      <c r="AM30" s="102">
        <f t="shared" si="8"/>
        <v>631.82178711151039</v>
      </c>
      <c r="AN30" s="46">
        <f t="shared" si="9"/>
        <v>19.760102338295958</v>
      </c>
      <c r="AO30" s="68">
        <v>1</v>
      </c>
      <c r="AQ30" s="7">
        <f t="shared" si="10"/>
        <v>3578.2009342627207</v>
      </c>
      <c r="AR30" s="7">
        <f t="shared" si="11"/>
        <v>8330.0517749636128</v>
      </c>
    </row>
    <row r="31" spans="1:47">
      <c r="A31">
        <v>21</v>
      </c>
      <c r="B31" s="25">
        <v>4000</v>
      </c>
      <c r="C31" s="25">
        <v>2000</v>
      </c>
      <c r="D31" s="25">
        <v>1200</v>
      </c>
      <c r="E31" s="26">
        <v>300</v>
      </c>
      <c r="F31" s="30">
        <v>1000</v>
      </c>
      <c r="G31" s="59">
        <v>0</v>
      </c>
      <c r="H31" s="59">
        <v>0</v>
      </c>
      <c r="I31" s="59">
        <v>0</v>
      </c>
      <c r="J31" s="25">
        <v>4000</v>
      </c>
      <c r="K31" s="59">
        <v>0</v>
      </c>
      <c r="L31" s="59">
        <v>0</v>
      </c>
      <c r="M31" s="59">
        <v>0</v>
      </c>
      <c r="N31" s="8">
        <v>21</v>
      </c>
      <c r="O31" s="24">
        <v>4700</v>
      </c>
      <c r="P31" s="25">
        <v>2000</v>
      </c>
      <c r="Q31" s="59">
        <v>0</v>
      </c>
      <c r="R31" s="25">
        <v>30</v>
      </c>
      <c r="S31" s="59">
        <v>0</v>
      </c>
      <c r="T31" s="76">
        <v>0</v>
      </c>
      <c r="U31" s="78">
        <v>0</v>
      </c>
      <c r="V31" s="76">
        <v>0</v>
      </c>
      <c r="W31" s="78">
        <v>0</v>
      </c>
      <c r="X31" s="76">
        <v>0</v>
      </c>
      <c r="Y31" s="76">
        <v>0</v>
      </c>
      <c r="Z31" s="44"/>
      <c r="AB31" s="10">
        <f t="shared" si="0"/>
        <v>12500</v>
      </c>
      <c r="AC31" s="34">
        <f t="shared" si="12"/>
        <v>6730</v>
      </c>
      <c r="AD31" s="10">
        <f t="shared" si="1"/>
        <v>19230</v>
      </c>
      <c r="AE31" s="72">
        <f t="shared" si="2"/>
        <v>65.002600104004159</v>
      </c>
      <c r="AF31" s="72">
        <f t="shared" si="3"/>
        <v>34.997399895995841</v>
      </c>
      <c r="AH31" s="70">
        <f t="shared" si="4"/>
        <v>17495.064030000001</v>
      </c>
      <c r="AI31" s="17">
        <f t="shared" si="5"/>
        <v>0.25391965210449929</v>
      </c>
      <c r="AJ31" s="17">
        <f t="shared" si="6"/>
        <v>5.5189476435331238E-2</v>
      </c>
      <c r="AL31" s="102">
        <f t="shared" si="7"/>
        <v>16586.221129952126</v>
      </c>
      <c r="AM31" s="102">
        <f t="shared" si="8"/>
        <v>908.84290004787454</v>
      </c>
      <c r="AN31" s="46">
        <f t="shared" si="9"/>
        <v>18.249821975919517</v>
      </c>
      <c r="AO31" s="68">
        <v>1</v>
      </c>
      <c r="AQ31" s="7">
        <f t="shared" si="10"/>
        <v>4479.6045245551395</v>
      </c>
      <c r="AR31" s="7">
        <f t="shared" si="11"/>
        <v>10428.519333164366</v>
      </c>
    </row>
    <row r="32" spans="1:47">
      <c r="A32">
        <v>22</v>
      </c>
      <c r="B32" s="25">
        <v>4000</v>
      </c>
      <c r="C32" s="25">
        <v>2000</v>
      </c>
      <c r="D32" s="78">
        <v>0</v>
      </c>
      <c r="E32" s="76">
        <v>0</v>
      </c>
      <c r="F32" s="30">
        <v>1300</v>
      </c>
      <c r="G32" s="59">
        <v>0</v>
      </c>
      <c r="H32" s="59">
        <v>0</v>
      </c>
      <c r="I32" s="59">
        <v>0</v>
      </c>
      <c r="J32" s="78">
        <v>0</v>
      </c>
      <c r="K32" s="59">
        <v>0</v>
      </c>
      <c r="L32" s="59">
        <v>0</v>
      </c>
      <c r="M32" s="59">
        <v>0</v>
      </c>
      <c r="N32" s="8">
        <v>22</v>
      </c>
      <c r="O32" s="24">
        <v>1000</v>
      </c>
      <c r="P32" s="25">
        <v>2000</v>
      </c>
      <c r="Q32" s="59">
        <v>0</v>
      </c>
      <c r="R32" s="78">
        <v>0</v>
      </c>
      <c r="S32" s="59">
        <v>0</v>
      </c>
      <c r="T32" s="76">
        <v>0</v>
      </c>
      <c r="U32" s="25">
        <v>2000</v>
      </c>
      <c r="V32" s="76">
        <v>0</v>
      </c>
      <c r="W32" s="78">
        <v>0</v>
      </c>
      <c r="X32" s="76">
        <v>0</v>
      </c>
      <c r="Y32" s="76">
        <v>0</v>
      </c>
      <c r="Z32" s="44"/>
      <c r="AB32" s="10">
        <f t="shared" si="0"/>
        <v>7300</v>
      </c>
      <c r="AC32" s="34">
        <f t="shared" si="12"/>
        <v>5000</v>
      </c>
      <c r="AD32" s="10">
        <f t="shared" si="1"/>
        <v>12300</v>
      </c>
      <c r="AE32" s="72">
        <f t="shared" si="2"/>
        <v>59.349593495934961</v>
      </c>
      <c r="AF32" s="72">
        <f t="shared" si="3"/>
        <v>40.650406504065039</v>
      </c>
      <c r="AH32" s="70">
        <f t="shared" si="4"/>
        <v>14385.561749999999</v>
      </c>
      <c r="AI32" s="17">
        <f t="shared" si="5"/>
        <v>0.20878899492017414</v>
      </c>
      <c r="AJ32" s="17">
        <f t="shared" si="6"/>
        <v>4.5380320977917978E-2</v>
      </c>
      <c r="AL32" s="102">
        <f t="shared" si="7"/>
        <v>13902.133989758664</v>
      </c>
      <c r="AM32" s="102">
        <f t="shared" si="8"/>
        <v>483.42776024133661</v>
      </c>
      <c r="AN32" s="46">
        <f t="shared" si="9"/>
        <v>28.757417618753308</v>
      </c>
      <c r="AO32" s="68">
        <v>1</v>
      </c>
      <c r="AQ32" s="7">
        <f t="shared" si="10"/>
        <v>4158.3727589009404</v>
      </c>
      <c r="AR32" s="7">
        <f t="shared" si="11"/>
        <v>9680.6917827213911</v>
      </c>
    </row>
    <row r="33" spans="1:45">
      <c r="A33">
        <v>23</v>
      </c>
      <c r="B33" s="25">
        <v>4000</v>
      </c>
      <c r="C33" s="25">
        <v>2000</v>
      </c>
      <c r="D33" s="78">
        <v>0</v>
      </c>
      <c r="E33" s="76">
        <v>0</v>
      </c>
      <c r="F33" s="76">
        <v>0</v>
      </c>
      <c r="G33" s="59">
        <v>0</v>
      </c>
      <c r="H33" s="59">
        <v>0</v>
      </c>
      <c r="I33" s="59">
        <v>0</v>
      </c>
      <c r="J33" s="25">
        <v>4000</v>
      </c>
      <c r="K33" s="59">
        <v>0</v>
      </c>
      <c r="L33" s="59">
        <v>0</v>
      </c>
      <c r="M33" s="59">
        <v>0</v>
      </c>
      <c r="N33" s="8">
        <v>23</v>
      </c>
      <c r="O33" s="24">
        <v>1000</v>
      </c>
      <c r="P33" s="78">
        <v>0</v>
      </c>
      <c r="Q33" s="59">
        <v>0</v>
      </c>
      <c r="R33" s="25">
        <v>30</v>
      </c>
      <c r="S33" s="59">
        <v>0</v>
      </c>
      <c r="T33" s="26">
        <v>50</v>
      </c>
      <c r="U33" s="25">
        <v>2000</v>
      </c>
      <c r="V33" s="30">
        <v>12</v>
      </c>
      <c r="W33" s="25">
        <v>325</v>
      </c>
      <c r="X33" s="76">
        <v>0</v>
      </c>
      <c r="Y33" s="76">
        <v>0</v>
      </c>
      <c r="Z33" s="44"/>
      <c r="AB33" s="10">
        <f t="shared" si="0"/>
        <v>10000</v>
      </c>
      <c r="AC33" s="34">
        <f t="shared" si="12"/>
        <v>3787</v>
      </c>
      <c r="AD33" s="10">
        <f t="shared" si="1"/>
        <v>13787</v>
      </c>
      <c r="AE33" s="72">
        <f t="shared" si="2"/>
        <v>72.532095452237613</v>
      </c>
      <c r="AF33" s="72">
        <f t="shared" si="3"/>
        <v>27.467904547762384</v>
      </c>
      <c r="AH33" s="70">
        <f t="shared" si="4"/>
        <v>6539.0437200000006</v>
      </c>
      <c r="AI33" s="17">
        <f t="shared" si="5"/>
        <v>9.4906294920174175E-2</v>
      </c>
      <c r="AJ33" s="17">
        <f t="shared" si="6"/>
        <v>2.0627898170347006E-2</v>
      </c>
      <c r="AL33" s="102">
        <f t="shared" si="7"/>
        <v>6021.6916503088805</v>
      </c>
      <c r="AM33" s="102">
        <f t="shared" si="8"/>
        <v>517.35206969111971</v>
      </c>
      <c r="AN33" s="46">
        <f t="shared" si="9"/>
        <v>11.63944633275378</v>
      </c>
      <c r="AO33" s="68">
        <v>1</v>
      </c>
      <c r="AQ33" s="7">
        <f t="shared" si="10"/>
        <v>997.28589589728006</v>
      </c>
      <c r="AR33" s="7">
        <f t="shared" si="11"/>
        <v>2321.6815656488679</v>
      </c>
    </row>
    <row r="34" spans="1:45">
      <c r="A34">
        <v>24</v>
      </c>
      <c r="B34" s="25">
        <v>4000</v>
      </c>
      <c r="C34" s="25">
        <v>2000</v>
      </c>
      <c r="D34" s="25">
        <v>1000</v>
      </c>
      <c r="E34" s="76">
        <v>0</v>
      </c>
      <c r="F34" s="76">
        <v>0</v>
      </c>
      <c r="G34" s="59">
        <v>0</v>
      </c>
      <c r="H34" s="59">
        <v>0</v>
      </c>
      <c r="I34" s="59">
        <v>0</v>
      </c>
      <c r="J34" s="78">
        <v>0</v>
      </c>
      <c r="K34" s="59">
        <v>0</v>
      </c>
      <c r="L34" s="59">
        <v>0</v>
      </c>
      <c r="M34" s="59">
        <v>0</v>
      </c>
      <c r="N34" s="8">
        <v>24</v>
      </c>
      <c r="O34" s="24">
        <v>1000</v>
      </c>
      <c r="P34" s="25">
        <v>2000</v>
      </c>
      <c r="Q34" s="59">
        <v>0</v>
      </c>
      <c r="R34" s="25">
        <v>30</v>
      </c>
      <c r="S34" s="59">
        <v>0</v>
      </c>
      <c r="T34" s="26">
        <v>50</v>
      </c>
      <c r="U34" s="25">
        <v>2000</v>
      </c>
      <c r="V34" s="30">
        <v>14</v>
      </c>
      <c r="W34" s="25">
        <v>650</v>
      </c>
      <c r="X34" s="76">
        <v>0</v>
      </c>
      <c r="Y34" s="30">
        <v>70</v>
      </c>
      <c r="Z34" s="44" t="s">
        <v>49</v>
      </c>
      <c r="AB34" s="10">
        <f t="shared" si="0"/>
        <v>7000</v>
      </c>
      <c r="AC34" s="34">
        <f t="shared" si="12"/>
        <v>6254</v>
      </c>
      <c r="AD34" s="10">
        <f t="shared" si="1"/>
        <v>13254</v>
      </c>
      <c r="AE34" s="72">
        <f t="shared" si="2"/>
        <v>52.814244756299985</v>
      </c>
      <c r="AF34" s="72">
        <f t="shared" si="3"/>
        <v>47.185755243700015</v>
      </c>
      <c r="AH34" s="70">
        <f t="shared" si="4"/>
        <v>15082.3896</v>
      </c>
      <c r="AI34" s="17">
        <f t="shared" si="5"/>
        <v>0.21890260667634254</v>
      </c>
      <c r="AJ34" s="17">
        <f t="shared" si="6"/>
        <v>4.7578516088328075E-2</v>
      </c>
      <c r="AL34" s="102">
        <f t="shared" si="7"/>
        <v>14598.349929490805</v>
      </c>
      <c r="AM34" s="102">
        <f t="shared" si="8"/>
        <v>484.0396705091938</v>
      </c>
      <c r="AN34" s="46">
        <f t="shared" si="9"/>
        <v>30.159408038051552</v>
      </c>
      <c r="AO34" s="68">
        <v>1</v>
      </c>
      <c r="AQ34" s="7">
        <f t="shared" si="10"/>
        <v>3977.7379673899204</v>
      </c>
      <c r="AR34" s="7">
        <f t="shared" si="11"/>
        <v>9260.1739880837358</v>
      </c>
    </row>
    <row r="35" spans="1:45">
      <c r="A35">
        <v>25</v>
      </c>
      <c r="B35" s="25">
        <v>4000</v>
      </c>
      <c r="C35" s="25">
        <v>2000</v>
      </c>
      <c r="D35" s="78">
        <v>0</v>
      </c>
      <c r="E35" s="76">
        <v>0</v>
      </c>
      <c r="F35" s="76">
        <v>0</v>
      </c>
      <c r="G35" s="59">
        <v>0</v>
      </c>
      <c r="H35" s="59">
        <v>0</v>
      </c>
      <c r="I35" s="59">
        <v>0</v>
      </c>
      <c r="J35" s="78">
        <v>0</v>
      </c>
      <c r="K35" s="59">
        <v>0</v>
      </c>
      <c r="L35" s="59">
        <v>0</v>
      </c>
      <c r="M35" s="59">
        <v>0</v>
      </c>
      <c r="N35" s="8">
        <v>25</v>
      </c>
      <c r="O35" s="24">
        <v>4700</v>
      </c>
      <c r="P35" s="25">
        <v>2000</v>
      </c>
      <c r="Q35" s="59">
        <v>0</v>
      </c>
      <c r="R35" s="25">
        <v>30</v>
      </c>
      <c r="S35" s="59">
        <v>0</v>
      </c>
      <c r="T35" s="30">
        <v>50</v>
      </c>
      <c r="U35" s="25">
        <v>1800</v>
      </c>
      <c r="V35" s="30">
        <v>8</v>
      </c>
      <c r="W35" s="78">
        <v>0</v>
      </c>
      <c r="X35" s="30">
        <v>20</v>
      </c>
      <c r="Y35" s="30">
        <v>110</v>
      </c>
      <c r="Z35" s="44" t="s">
        <v>50</v>
      </c>
      <c r="AB35" s="10">
        <f t="shared" si="0"/>
        <v>6000</v>
      </c>
      <c r="AC35" s="34">
        <f t="shared" si="12"/>
        <v>8948</v>
      </c>
      <c r="AD35" s="10">
        <f t="shared" si="1"/>
        <v>14948</v>
      </c>
      <c r="AE35" s="72">
        <f t="shared" si="2"/>
        <v>40.139149050040139</v>
      </c>
      <c r="AF35" s="72">
        <f t="shared" si="3"/>
        <v>59.860850949959861</v>
      </c>
      <c r="AH35" s="70">
        <f t="shared" si="4"/>
        <v>14289.422400000001</v>
      </c>
      <c r="AI35" s="17">
        <f t="shared" si="5"/>
        <v>0.20739364876632804</v>
      </c>
      <c r="AJ35" s="17">
        <f t="shared" si="6"/>
        <v>4.5077042271293381E-2</v>
      </c>
      <c r="AL35" s="102">
        <f t="shared" si="7"/>
        <v>13706.546869750548</v>
      </c>
      <c r="AM35" s="102">
        <f t="shared" si="8"/>
        <v>582.87553024945362</v>
      </c>
      <c r="AN35" s="46">
        <f t="shared" si="9"/>
        <v>23.515392495348962</v>
      </c>
      <c r="AO35" s="68">
        <v>1</v>
      </c>
      <c r="AQ35" s="7">
        <f t="shared" si="10"/>
        <v>3973.3648687742398</v>
      </c>
      <c r="AR35" s="7">
        <f t="shared" si="11"/>
        <v>9249.993414506429</v>
      </c>
    </row>
    <row r="36" spans="1:45">
      <c r="A36">
        <v>26</v>
      </c>
      <c r="B36" s="25">
        <v>4000</v>
      </c>
      <c r="C36" s="25">
        <v>2000</v>
      </c>
      <c r="D36" s="78">
        <v>0</v>
      </c>
      <c r="E36" s="76">
        <v>0</v>
      </c>
      <c r="F36" s="76">
        <v>0</v>
      </c>
      <c r="G36" s="59">
        <v>0</v>
      </c>
      <c r="H36" s="59">
        <v>0</v>
      </c>
      <c r="I36" s="59">
        <v>0</v>
      </c>
      <c r="J36" s="25">
        <v>2000</v>
      </c>
      <c r="K36" s="59">
        <v>0</v>
      </c>
      <c r="L36" s="59">
        <v>0</v>
      </c>
      <c r="M36" s="59">
        <v>0</v>
      </c>
      <c r="N36" s="8">
        <v>26</v>
      </c>
      <c r="O36" s="80">
        <v>0</v>
      </c>
      <c r="P36" s="25">
        <v>2000</v>
      </c>
      <c r="Q36" s="59">
        <v>0</v>
      </c>
      <c r="R36" s="25">
        <v>30</v>
      </c>
      <c r="S36" s="59">
        <v>0</v>
      </c>
      <c r="T36" s="76">
        <v>0</v>
      </c>
      <c r="U36" s="25">
        <v>2000</v>
      </c>
      <c r="V36" s="76">
        <v>0</v>
      </c>
      <c r="W36" s="78">
        <v>0</v>
      </c>
      <c r="X36" s="30">
        <v>15</v>
      </c>
      <c r="Y36" s="76">
        <v>0</v>
      </c>
      <c r="Z36" s="44"/>
      <c r="AB36" s="10">
        <f t="shared" si="0"/>
        <v>8000</v>
      </c>
      <c r="AC36" s="34">
        <f t="shared" si="12"/>
        <v>4045</v>
      </c>
      <c r="AD36" s="10">
        <f t="shared" si="1"/>
        <v>12045</v>
      </c>
      <c r="AE36" s="72">
        <f t="shared" si="2"/>
        <v>66.417600664176007</v>
      </c>
      <c r="AF36" s="72">
        <f t="shared" si="3"/>
        <v>33.582399335823993</v>
      </c>
      <c r="AH36" s="70">
        <f t="shared" si="4"/>
        <v>12259.958459999998</v>
      </c>
      <c r="AI36" s="17">
        <f t="shared" si="5"/>
        <v>0.17793843918722785</v>
      </c>
      <c r="AJ36" s="17">
        <f t="shared" si="6"/>
        <v>3.8674947823343846E-2</v>
      </c>
      <c r="AL36" s="102">
        <f t="shared" si="7"/>
        <v>11872.768334840053</v>
      </c>
      <c r="AM36" s="102">
        <f t="shared" si="8"/>
        <v>387.19012515994848</v>
      </c>
      <c r="AN36" s="46">
        <f t="shared" si="9"/>
        <v>30.66392338889171</v>
      </c>
      <c r="AO36" s="68">
        <v>1</v>
      </c>
      <c r="AQ36" s="7">
        <f t="shared" si="10"/>
        <v>3564.6447068498405</v>
      </c>
      <c r="AR36" s="7">
        <f t="shared" si="11"/>
        <v>8298.4928775464286</v>
      </c>
    </row>
    <row r="37" spans="1:45">
      <c r="A37">
        <v>27</v>
      </c>
      <c r="B37" s="25">
        <v>4000</v>
      </c>
      <c r="C37" s="25">
        <v>2000</v>
      </c>
      <c r="D37" s="78">
        <v>0</v>
      </c>
      <c r="E37" s="76">
        <v>0</v>
      </c>
      <c r="F37" s="76">
        <v>0</v>
      </c>
      <c r="G37" s="59">
        <v>0</v>
      </c>
      <c r="H37" s="59">
        <v>0</v>
      </c>
      <c r="I37" s="59">
        <v>0</v>
      </c>
      <c r="J37" s="25">
        <v>4000</v>
      </c>
      <c r="K37" s="59">
        <v>0</v>
      </c>
      <c r="L37" s="59">
        <v>0</v>
      </c>
      <c r="M37" s="59">
        <v>0</v>
      </c>
      <c r="N37" s="8">
        <v>27</v>
      </c>
      <c r="O37" s="80">
        <v>0</v>
      </c>
      <c r="P37" s="25">
        <v>2000</v>
      </c>
      <c r="Q37" s="59">
        <v>0</v>
      </c>
      <c r="R37" s="25">
        <v>30</v>
      </c>
      <c r="S37" s="59">
        <v>0</v>
      </c>
      <c r="T37" s="26">
        <v>100</v>
      </c>
      <c r="U37" s="78">
        <v>0</v>
      </c>
      <c r="V37" s="76">
        <v>0</v>
      </c>
      <c r="W37" s="25">
        <v>15</v>
      </c>
      <c r="X37" s="76">
        <v>0</v>
      </c>
      <c r="Y37" s="76">
        <v>0</v>
      </c>
      <c r="Z37" s="44"/>
      <c r="AB37" s="10">
        <f t="shared" si="0"/>
        <v>10000</v>
      </c>
      <c r="AC37" s="34">
        <f t="shared" si="12"/>
        <v>2045</v>
      </c>
      <c r="AD37" s="10">
        <f t="shared" si="1"/>
        <v>12045</v>
      </c>
      <c r="AE37" s="72">
        <f t="shared" si="2"/>
        <v>83.022000830220009</v>
      </c>
      <c r="AF37" s="72">
        <f t="shared" si="3"/>
        <v>16.977999169779991</v>
      </c>
      <c r="AH37" s="70">
        <f t="shared" si="4"/>
        <v>11411.97228</v>
      </c>
      <c r="AI37" s="17">
        <f t="shared" si="5"/>
        <v>0.16563094746008708</v>
      </c>
      <c r="AJ37" s="17">
        <f t="shared" si="6"/>
        <v>3.5999912555205051E-2</v>
      </c>
      <c r="AL37" s="102">
        <f t="shared" si="7"/>
        <v>10981.220615513974</v>
      </c>
      <c r="AM37" s="102">
        <f t="shared" si="8"/>
        <v>430.75166448602778</v>
      </c>
      <c r="AN37" s="46">
        <f t="shared" si="9"/>
        <v>25.493158868269841</v>
      </c>
      <c r="AO37" s="68">
        <v>1</v>
      </c>
      <c r="AQ37" s="7">
        <f t="shared" si="10"/>
        <v>3172.5453460308481</v>
      </c>
      <c r="AR37" s="7">
        <f t="shared" si="11"/>
        <v>7385.6855655598138</v>
      </c>
    </row>
    <row r="38" spans="1:45">
      <c r="A38">
        <v>28</v>
      </c>
      <c r="B38" s="25">
        <v>1200</v>
      </c>
      <c r="C38" s="25">
        <v>2000</v>
      </c>
      <c r="D38" s="25">
        <v>2300</v>
      </c>
      <c r="E38" s="76">
        <v>0</v>
      </c>
      <c r="F38" s="76">
        <v>0</v>
      </c>
      <c r="G38" s="59">
        <v>0</v>
      </c>
      <c r="H38" s="59">
        <v>0</v>
      </c>
      <c r="I38" s="59">
        <v>0</v>
      </c>
      <c r="J38" s="25">
        <v>4000</v>
      </c>
      <c r="K38" s="59">
        <v>0</v>
      </c>
      <c r="L38" s="59">
        <v>0</v>
      </c>
      <c r="M38" s="59">
        <v>0</v>
      </c>
      <c r="N38" s="8">
        <v>28</v>
      </c>
      <c r="O38" s="24">
        <v>4300</v>
      </c>
      <c r="P38" s="25">
        <v>2000</v>
      </c>
      <c r="Q38" s="59">
        <v>0</v>
      </c>
      <c r="R38" s="25">
        <v>30</v>
      </c>
      <c r="S38" s="59">
        <v>0</v>
      </c>
      <c r="T38" s="76">
        <v>0</v>
      </c>
      <c r="U38" s="78">
        <v>0</v>
      </c>
      <c r="V38" s="30">
        <v>27</v>
      </c>
      <c r="W38" s="78">
        <v>0</v>
      </c>
      <c r="X38" s="76">
        <v>0</v>
      </c>
      <c r="Y38" s="30">
        <v>108</v>
      </c>
      <c r="Z38" s="44" t="s">
        <v>49</v>
      </c>
      <c r="AB38" s="10">
        <f t="shared" si="0"/>
        <v>9500</v>
      </c>
      <c r="AC38" s="34">
        <f t="shared" si="12"/>
        <v>7410</v>
      </c>
      <c r="AD38" s="10">
        <f t="shared" si="1"/>
        <v>16910</v>
      </c>
      <c r="AE38" s="72">
        <f t="shared" si="2"/>
        <v>56.179775280898873</v>
      </c>
      <c r="AF38" s="72">
        <f t="shared" si="3"/>
        <v>43.820224719101127</v>
      </c>
      <c r="AH38" s="70">
        <f t="shared" si="4"/>
        <v>16964.752619999999</v>
      </c>
      <c r="AI38" s="17">
        <f t="shared" si="5"/>
        <v>0.24622282467343976</v>
      </c>
      <c r="AJ38" s="17">
        <f t="shared" si="6"/>
        <v>5.3516569779179811E-2</v>
      </c>
      <c r="AL38" s="102">
        <f t="shared" si="7"/>
        <v>16108.233034085401</v>
      </c>
      <c r="AM38" s="102">
        <f t="shared" si="8"/>
        <v>856.51958591459925</v>
      </c>
      <c r="AN38" s="46">
        <f t="shared" si="9"/>
        <v>18.80661376457012</v>
      </c>
      <c r="AO38" s="68">
        <v>1</v>
      </c>
      <c r="AQ38" s="7">
        <f t="shared" si="10"/>
        <v>3807.0210495538081</v>
      </c>
      <c r="AR38" s="7">
        <f t="shared" si="11"/>
        <v>8862.7450033612658</v>
      </c>
    </row>
    <row r="39" spans="1:45">
      <c r="A39">
        <v>29</v>
      </c>
      <c r="B39" s="25">
        <v>4000</v>
      </c>
      <c r="C39" s="25">
        <v>2000</v>
      </c>
      <c r="D39" s="78">
        <v>0</v>
      </c>
      <c r="E39" s="76">
        <v>0</v>
      </c>
      <c r="F39" s="76">
        <v>0</v>
      </c>
      <c r="G39" s="59">
        <v>0</v>
      </c>
      <c r="H39" s="59">
        <v>0</v>
      </c>
      <c r="I39" s="59">
        <v>0</v>
      </c>
      <c r="J39" s="78">
        <v>0</v>
      </c>
      <c r="K39" s="59">
        <v>0</v>
      </c>
      <c r="L39" s="59">
        <v>0</v>
      </c>
      <c r="M39" s="59">
        <v>0</v>
      </c>
      <c r="N39" s="8">
        <v>29</v>
      </c>
      <c r="O39" s="24">
        <v>1000</v>
      </c>
      <c r="P39" s="25">
        <v>1500</v>
      </c>
      <c r="Q39" s="59">
        <v>0</v>
      </c>
      <c r="R39" s="25">
        <v>30</v>
      </c>
      <c r="S39" s="59">
        <v>0</v>
      </c>
      <c r="T39" s="76">
        <v>0</v>
      </c>
      <c r="U39" s="25">
        <v>1500</v>
      </c>
      <c r="V39" s="76">
        <v>0</v>
      </c>
      <c r="W39" s="78">
        <v>0</v>
      </c>
      <c r="X39" s="76">
        <v>0</v>
      </c>
      <c r="Y39" s="30">
        <v>60</v>
      </c>
      <c r="Z39" s="44" t="s">
        <v>49</v>
      </c>
      <c r="AB39" s="10">
        <f t="shared" si="0"/>
        <v>6000</v>
      </c>
      <c r="AC39" s="34">
        <f t="shared" si="12"/>
        <v>4090</v>
      </c>
      <c r="AD39" s="10">
        <f t="shared" si="1"/>
        <v>10090</v>
      </c>
      <c r="AE39" s="72">
        <f t="shared" si="2"/>
        <v>59.464816650148663</v>
      </c>
      <c r="AF39" s="72">
        <f t="shared" si="3"/>
        <v>40.535183349851337</v>
      </c>
      <c r="AH39" s="70">
        <f t="shared" si="4"/>
        <v>10061.793000000001</v>
      </c>
      <c r="AI39" s="17">
        <f t="shared" si="5"/>
        <v>0.14603473149492019</v>
      </c>
      <c r="AJ39" s="17">
        <f t="shared" si="6"/>
        <v>3.1740671924290226E-2</v>
      </c>
      <c r="AL39" s="102">
        <f t="shared" si="7"/>
        <v>9746.7592024752485</v>
      </c>
      <c r="AM39" s="102">
        <f t="shared" si="8"/>
        <v>315.03379752475252</v>
      </c>
      <c r="AN39" s="46">
        <f t="shared" si="9"/>
        <v>30.938773169915006</v>
      </c>
      <c r="AO39" s="68">
        <v>1</v>
      </c>
      <c r="AQ39" s="7">
        <f t="shared" si="10"/>
        <v>2850.1670227694399</v>
      </c>
      <c r="AR39" s="7">
        <f t="shared" si="11"/>
        <v>6635.1888290072566</v>
      </c>
    </row>
    <row r="40" spans="1:45">
      <c r="A40">
        <v>30</v>
      </c>
      <c r="B40" s="25">
        <v>4000</v>
      </c>
      <c r="C40" s="25">
        <v>2000</v>
      </c>
      <c r="D40" s="78">
        <v>0</v>
      </c>
      <c r="E40" s="76">
        <v>0</v>
      </c>
      <c r="F40" s="30">
        <v>900</v>
      </c>
      <c r="G40" s="59">
        <v>0</v>
      </c>
      <c r="H40" s="59">
        <v>0</v>
      </c>
      <c r="I40" s="59">
        <v>0</v>
      </c>
      <c r="J40" s="78">
        <v>0</v>
      </c>
      <c r="K40" s="59">
        <v>0</v>
      </c>
      <c r="L40" s="59">
        <v>0</v>
      </c>
      <c r="M40" s="59">
        <v>0</v>
      </c>
      <c r="N40" s="8">
        <v>30</v>
      </c>
      <c r="O40" s="24">
        <v>1200</v>
      </c>
      <c r="P40" s="78">
        <v>0</v>
      </c>
      <c r="Q40" s="59">
        <v>0</v>
      </c>
      <c r="R40" s="25">
        <v>30</v>
      </c>
      <c r="S40" s="59">
        <v>0</v>
      </c>
      <c r="T40" s="76">
        <v>0</v>
      </c>
      <c r="U40" s="25">
        <v>2000</v>
      </c>
      <c r="V40" s="76">
        <v>0</v>
      </c>
      <c r="W40" s="78">
        <v>0</v>
      </c>
      <c r="X40" s="76">
        <v>0</v>
      </c>
      <c r="Y40" s="76">
        <v>0</v>
      </c>
      <c r="Z40" s="44"/>
      <c r="AB40" s="10">
        <f t="shared" si="0"/>
        <v>6900</v>
      </c>
      <c r="AC40" s="34">
        <f t="shared" si="12"/>
        <v>3230</v>
      </c>
      <c r="AD40" s="10">
        <f t="shared" si="1"/>
        <v>10130</v>
      </c>
      <c r="AE40" s="72">
        <f t="shared" si="2"/>
        <v>68.11451135241856</v>
      </c>
      <c r="AF40" s="72">
        <f t="shared" si="3"/>
        <v>31.88548864758144</v>
      </c>
      <c r="AH40" s="70">
        <f t="shared" si="4"/>
        <v>6361.7311500000014</v>
      </c>
      <c r="AI40" s="17">
        <f t="shared" si="5"/>
        <v>9.2332817851959376E-2</v>
      </c>
      <c r="AJ40" s="17">
        <f t="shared" si="6"/>
        <v>2.006855252365931E-2</v>
      </c>
      <c r="AL40" s="102">
        <f t="shared" si="7"/>
        <v>5982.4587906249999</v>
      </c>
      <c r="AM40" s="102">
        <f t="shared" si="8"/>
        <v>379.27235937500001</v>
      </c>
      <c r="AN40" s="46">
        <f t="shared" si="9"/>
        <v>15.773516426252225</v>
      </c>
      <c r="AO40" s="68">
        <v>1</v>
      </c>
      <c r="AQ40" s="7">
        <f t="shared" si="10"/>
        <v>1312.14190318134</v>
      </c>
      <c r="AR40" s="7">
        <f t="shared" si="11"/>
        <v>3054.6663506061595</v>
      </c>
    </row>
    <row r="41" spans="1:45" s="35" customFormat="1">
      <c r="A41" s="35">
        <v>31</v>
      </c>
      <c r="B41" s="56">
        <v>4000</v>
      </c>
      <c r="C41" s="41">
        <v>2000</v>
      </c>
      <c r="D41" s="79">
        <v>0</v>
      </c>
      <c r="E41" s="57">
        <v>0</v>
      </c>
      <c r="F41" s="57">
        <v>0</v>
      </c>
      <c r="G41" s="58">
        <v>0</v>
      </c>
      <c r="H41" s="58">
        <v>0</v>
      </c>
      <c r="I41" s="58">
        <v>0</v>
      </c>
      <c r="J41" s="79">
        <v>0</v>
      </c>
      <c r="K41" s="58">
        <v>0</v>
      </c>
      <c r="L41" s="58">
        <v>0</v>
      </c>
      <c r="M41" s="58">
        <v>0</v>
      </c>
      <c r="N41" s="75">
        <v>31</v>
      </c>
      <c r="O41" s="56">
        <v>750</v>
      </c>
      <c r="P41" s="41">
        <v>2000</v>
      </c>
      <c r="Q41" s="58">
        <v>0</v>
      </c>
      <c r="R41" s="41">
        <v>3</v>
      </c>
      <c r="S41" s="58">
        <v>0</v>
      </c>
      <c r="T41" s="79">
        <v>0</v>
      </c>
      <c r="U41" s="41">
        <v>2000</v>
      </c>
      <c r="V41" s="41">
        <v>27</v>
      </c>
      <c r="W41" s="79">
        <v>0</v>
      </c>
      <c r="X41" s="79">
        <v>0</v>
      </c>
      <c r="Y41" s="79">
        <v>0</v>
      </c>
      <c r="Z41" s="45"/>
      <c r="AB41" s="34">
        <f t="shared" si="0"/>
        <v>6000</v>
      </c>
      <c r="AC41" s="34">
        <f t="shared" si="12"/>
        <v>5725</v>
      </c>
      <c r="AD41" s="34">
        <f t="shared" si="1"/>
        <v>11725</v>
      </c>
      <c r="AE41" s="73">
        <f t="shared" si="2"/>
        <v>51.172707889125796</v>
      </c>
      <c r="AF41" s="73">
        <f t="shared" si="3"/>
        <v>48.827292110874204</v>
      </c>
      <c r="AH41" s="71">
        <f t="shared" si="4"/>
        <v>14021.416499999999</v>
      </c>
      <c r="AI41" s="54">
        <f t="shared" si="5"/>
        <v>0.20350386792452829</v>
      </c>
      <c r="AJ41" s="54">
        <f t="shared" si="6"/>
        <v>4.4231597791798104E-2</v>
      </c>
      <c r="AL41" s="103">
        <f t="shared" si="7"/>
        <v>13597.490358062234</v>
      </c>
      <c r="AM41" s="103">
        <f t="shared" si="8"/>
        <v>423.92614193776524</v>
      </c>
      <c r="AN41" s="46">
        <f t="shared" si="9"/>
        <v>32.075140013560244</v>
      </c>
      <c r="AO41" s="69">
        <v>1</v>
      </c>
      <c r="AQ41" s="36">
        <f t="shared" si="10"/>
        <v>3589.4987361794401</v>
      </c>
      <c r="AR41" s="36">
        <f t="shared" si="11"/>
        <v>8356.353057825736</v>
      </c>
    </row>
    <row r="42" spans="1:45">
      <c r="A42" s="35"/>
      <c r="B42" s="30"/>
      <c r="C42" s="30"/>
      <c r="D42" s="76"/>
      <c r="E42" s="52"/>
      <c r="F42" s="52"/>
      <c r="G42" s="59"/>
      <c r="H42" s="59"/>
      <c r="I42" s="59"/>
      <c r="J42" s="76"/>
      <c r="K42" s="59"/>
      <c r="L42" s="59"/>
      <c r="M42" s="59"/>
      <c r="N42" s="98"/>
      <c r="O42" s="30"/>
      <c r="P42" s="30"/>
      <c r="Q42" s="59"/>
      <c r="R42" s="30"/>
      <c r="S42" s="59"/>
      <c r="T42" s="76"/>
      <c r="U42" s="30"/>
      <c r="V42" s="30"/>
      <c r="W42" s="76"/>
      <c r="X42" s="76"/>
      <c r="Y42" s="76"/>
      <c r="Z42" s="30"/>
      <c r="AH42" s="15"/>
      <c r="AI42" s="17"/>
      <c r="AJ42" s="17"/>
      <c r="AL42" s="104"/>
      <c r="AM42" s="104"/>
      <c r="AN42" s="46"/>
    </row>
    <row r="43" spans="1:45">
      <c r="A43" s="35"/>
      <c r="B43" s="30"/>
      <c r="C43" s="30"/>
      <c r="D43" s="76"/>
      <c r="E43" s="52"/>
      <c r="F43" s="52"/>
      <c r="G43" s="59"/>
      <c r="H43" s="59"/>
      <c r="I43" s="59"/>
      <c r="J43" s="76"/>
      <c r="K43" s="59"/>
      <c r="L43" s="59"/>
      <c r="M43" s="59"/>
      <c r="N43" s="98"/>
      <c r="O43" s="30"/>
      <c r="P43" s="30"/>
      <c r="Q43" s="59"/>
      <c r="R43" s="30"/>
      <c r="S43" s="59"/>
      <c r="T43" s="76"/>
      <c r="U43" s="30"/>
      <c r="V43" s="30"/>
      <c r="W43" s="76"/>
      <c r="X43" s="76"/>
      <c r="Y43" s="76"/>
      <c r="Z43" s="30"/>
      <c r="AA43" s="60" t="s">
        <v>21</v>
      </c>
      <c r="AB43" s="10">
        <f>SUM(AB11:AB41)</f>
        <v>293780</v>
      </c>
      <c r="AC43" s="10">
        <f t="shared" ref="AC43:AD43" si="13">SUM(AC11:AC41)</f>
        <v>149578</v>
      </c>
      <c r="AD43" s="10">
        <f t="shared" si="13"/>
        <v>443358</v>
      </c>
      <c r="AH43" s="15"/>
      <c r="AI43" s="17"/>
      <c r="AJ43" s="17"/>
      <c r="AK43" s="4" t="s">
        <v>70</v>
      </c>
      <c r="AL43" s="102">
        <f>AVERAGE(AL11:AL41)</f>
        <v>10557.190575107568</v>
      </c>
      <c r="AM43" s="102">
        <f>AVERAGE(AM11:AM41)</f>
        <v>560.90896129243299</v>
      </c>
      <c r="AN43" s="46">
        <f>AVERAGE(AN11:AN41)</f>
        <v>19.363153763389441</v>
      </c>
    </row>
    <row r="44" spans="1:45">
      <c r="B44" s="7"/>
      <c r="C44" s="7"/>
    </row>
    <row r="45" spans="1:45">
      <c r="A45" s="16" t="s">
        <v>21</v>
      </c>
      <c r="B45" s="64">
        <f>SUM(B11:B41)</f>
        <v>115000</v>
      </c>
      <c r="C45" s="64">
        <f t="shared" ref="C45:M45" si="14">SUM(C11:C41)</f>
        <v>62000</v>
      </c>
      <c r="D45" s="64">
        <f t="shared" si="14"/>
        <v>10900</v>
      </c>
      <c r="E45" s="64">
        <f t="shared" si="14"/>
        <v>300</v>
      </c>
      <c r="F45" s="64">
        <f t="shared" si="14"/>
        <v>4500</v>
      </c>
      <c r="G45" s="64">
        <f t="shared" si="14"/>
        <v>0</v>
      </c>
      <c r="H45" s="64">
        <f t="shared" si="14"/>
        <v>0</v>
      </c>
      <c r="I45" s="64">
        <f t="shared" si="14"/>
        <v>0</v>
      </c>
      <c r="J45" s="64">
        <f t="shared" si="14"/>
        <v>101080</v>
      </c>
      <c r="K45" s="64">
        <f t="shared" si="14"/>
        <v>0</v>
      </c>
      <c r="L45" s="64">
        <f t="shared" si="14"/>
        <v>0</v>
      </c>
      <c r="M45" s="64">
        <f t="shared" si="14"/>
        <v>0</v>
      </c>
      <c r="N45" s="60"/>
      <c r="O45" s="60">
        <f t="shared" ref="O45:Y45" si="15">SUM(O11:O41)</f>
        <v>52450</v>
      </c>
      <c r="P45" s="60">
        <f t="shared" si="15"/>
        <v>38465</v>
      </c>
      <c r="Q45" s="60">
        <f t="shared" si="15"/>
        <v>0</v>
      </c>
      <c r="R45" s="60">
        <f t="shared" si="15"/>
        <v>793</v>
      </c>
      <c r="S45" s="60">
        <f t="shared" si="15"/>
        <v>0</v>
      </c>
      <c r="T45" s="60">
        <f t="shared" si="15"/>
        <v>250</v>
      </c>
      <c r="U45" s="60">
        <f t="shared" si="15"/>
        <v>44900</v>
      </c>
      <c r="V45" s="60">
        <f t="shared" si="15"/>
        <v>185</v>
      </c>
      <c r="W45" s="60">
        <f t="shared" si="15"/>
        <v>5865</v>
      </c>
      <c r="X45" s="60">
        <f t="shared" si="15"/>
        <v>37</v>
      </c>
      <c r="Y45" s="60">
        <f t="shared" si="15"/>
        <v>408</v>
      </c>
      <c r="Z45" s="60"/>
      <c r="AA45" s="4" t="s">
        <v>19</v>
      </c>
      <c r="AB45" s="60">
        <f>AVERAGE(AB11:AB41)</f>
        <v>9476.7741935483864</v>
      </c>
      <c r="AC45" s="61">
        <f>AVERAGE(AC11:AC41)</f>
        <v>4825.0967741935483</v>
      </c>
      <c r="AD45" s="60">
        <f>AVERAGE(AD11:AD41)</f>
        <v>14301.870967741936</v>
      </c>
      <c r="AE45" s="60">
        <f>AVERAGE(AE11:AE41)</f>
        <v>66.64364548550418</v>
      </c>
      <c r="AF45" s="60">
        <f>AVERAGE(AF11:AF41)</f>
        <v>33.356354514495813</v>
      </c>
      <c r="AG45" s="60"/>
      <c r="AH45" s="60">
        <f t="shared" ref="AH45:AN45" si="16">AVERAGE(AH11:AH41)</f>
        <v>11118.099536399997</v>
      </c>
      <c r="AI45" s="62">
        <f t="shared" si="16"/>
        <v>0.1613657407314949</v>
      </c>
      <c r="AJ45" s="62">
        <f t="shared" si="16"/>
        <v>3.5072869200000002E-2</v>
      </c>
      <c r="AK45" s="62"/>
      <c r="AL45" s="62"/>
      <c r="AM45" s="62"/>
      <c r="AN45" s="62">
        <f t="shared" si="16"/>
        <v>19.363153763389441</v>
      </c>
      <c r="AO45" s="6"/>
      <c r="AP45" s="4" t="s">
        <v>19</v>
      </c>
      <c r="AQ45" s="63">
        <f t="shared" ref="AQ45:AR45" si="17">AVERAGE(AQ11:AQ41)</f>
        <v>2722.0908080232311</v>
      </c>
      <c r="AR45" s="63">
        <f t="shared" si="17"/>
        <v>6337.0274010780822</v>
      </c>
      <c r="AS45" s="131">
        <v>5880</v>
      </c>
    </row>
    <row r="46" spans="1:45">
      <c r="A46" t="s">
        <v>19</v>
      </c>
      <c r="B46" s="64">
        <f>(SUM(B11:B41)/31)</f>
        <v>3709.6774193548385</v>
      </c>
      <c r="C46" s="64">
        <f t="shared" ref="C46:M46" si="18">(SUM(C11:C41)/31)</f>
        <v>2000</v>
      </c>
      <c r="D46" s="64">
        <f t="shared" si="18"/>
        <v>351.61290322580646</v>
      </c>
      <c r="E46" s="64">
        <f t="shared" si="18"/>
        <v>9.67741935483871</v>
      </c>
      <c r="F46" s="64">
        <f t="shared" si="18"/>
        <v>145.16129032258064</v>
      </c>
      <c r="G46" s="64">
        <f t="shared" si="18"/>
        <v>0</v>
      </c>
      <c r="H46" s="64">
        <f t="shared" si="18"/>
        <v>0</v>
      </c>
      <c r="I46" s="64">
        <f t="shared" si="18"/>
        <v>0</v>
      </c>
      <c r="J46" s="64">
        <f t="shared" si="18"/>
        <v>3260.6451612903224</v>
      </c>
      <c r="K46" s="64">
        <f t="shared" si="18"/>
        <v>0</v>
      </c>
      <c r="L46" s="64">
        <f t="shared" si="18"/>
        <v>0</v>
      </c>
      <c r="M46" s="64">
        <f t="shared" si="18"/>
        <v>0</v>
      </c>
      <c r="N46" s="4"/>
      <c r="O46" s="64">
        <f t="shared" ref="O46:Y46" si="19">(SUM(O11:O41)/31)</f>
        <v>1691.9354838709678</v>
      </c>
      <c r="P46" s="64">
        <f t="shared" si="19"/>
        <v>1240.8064516129032</v>
      </c>
      <c r="Q46" s="64">
        <f t="shared" si="19"/>
        <v>0</v>
      </c>
      <c r="R46" s="64">
        <f t="shared" si="19"/>
        <v>25.580645161290324</v>
      </c>
      <c r="S46" s="64">
        <f t="shared" si="19"/>
        <v>0</v>
      </c>
      <c r="T46" s="64">
        <f t="shared" si="19"/>
        <v>8.064516129032258</v>
      </c>
      <c r="U46" s="64">
        <f t="shared" si="19"/>
        <v>1448.3870967741937</v>
      </c>
      <c r="V46" s="64">
        <f t="shared" si="19"/>
        <v>5.967741935483871</v>
      </c>
      <c r="W46" s="64">
        <f t="shared" si="19"/>
        <v>189.19354838709677</v>
      </c>
      <c r="X46" s="64">
        <f t="shared" si="19"/>
        <v>1.1935483870967742</v>
      </c>
      <c r="Y46" s="64">
        <f t="shared" si="19"/>
        <v>13.161290322580646</v>
      </c>
      <c r="Z46" s="74"/>
      <c r="AA46" s="4" t="s">
        <v>20</v>
      </c>
      <c r="AB46" s="64">
        <f>STDEV(AB11:AB41)</f>
        <v>2640.0610941122486</v>
      </c>
      <c r="AC46" s="65">
        <f>STDEV(AC11:AC41)</f>
        <v>2225.6646850598545</v>
      </c>
      <c r="AD46" s="64">
        <f>STDEV(AD11:AD41)</f>
        <v>3303.6793401896139</v>
      </c>
      <c r="AE46" s="64">
        <f>STDEV(AE11:AE41)</f>
        <v>12.781279524985358</v>
      </c>
      <c r="AF46" s="64">
        <f>STDEV(AF11:AF41)</f>
        <v>12.781279524985319</v>
      </c>
      <c r="AG46" s="64"/>
      <c r="AH46" s="64">
        <f t="shared" ref="AH46:AN46" si="20">STDEV(AH11:AH41)</f>
        <v>4569.5658299164979</v>
      </c>
      <c r="AI46" s="66">
        <f t="shared" si="20"/>
        <v>6.6321710158439795E-2</v>
      </c>
      <c r="AJ46" s="66">
        <f t="shared" si="20"/>
        <v>1.4415034163774426E-2</v>
      </c>
      <c r="AK46" s="66"/>
      <c r="AL46" s="66"/>
      <c r="AM46" s="66"/>
      <c r="AN46" s="66">
        <f t="shared" si="20"/>
        <v>6.9321245932193989</v>
      </c>
      <c r="AO46" s="6"/>
      <c r="AP46" s="4" t="s">
        <v>20</v>
      </c>
      <c r="AQ46" s="64">
        <f>STDEV(AQ11:AQ41)</f>
        <v>1438.5829957789128</v>
      </c>
      <c r="AR46" s="64">
        <f>STDEV(AR11:AR41)</f>
        <v>3349.0212141733091</v>
      </c>
      <c r="AS46" s="131">
        <v>1426</v>
      </c>
    </row>
    <row r="47" spans="1:45">
      <c r="B47" s="7"/>
      <c r="C47" s="7"/>
    </row>
  </sheetData>
  <mergeCells count="5">
    <mergeCell ref="B9:M9"/>
    <mergeCell ref="O9:R9"/>
    <mergeCell ref="Y9:Z9"/>
    <mergeCell ref="AQ7:AR7"/>
    <mergeCell ref="AL8:AO8"/>
  </mergeCells>
  <pageMargins left="0.7" right="0.7" top="0.75" bottom="0.75" header="0.3" footer="0.3"/>
  <pageSetup orientation="portrait"/>
  <ignoredErrors>
    <ignoredError sqref="AB40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6"/>
  <sheetViews>
    <sheetView topLeftCell="X8" workbookViewId="0">
      <selection activeCell="AS46" sqref="AS46"/>
    </sheetView>
  </sheetViews>
  <sheetFormatPr baseColWidth="10" defaultColWidth="8.83203125" defaultRowHeight="15" x14ac:dyDescent="0"/>
  <cols>
    <col min="1" max="1" width="21.1640625" customWidth="1"/>
    <col min="2" max="2" width="9.5" customWidth="1"/>
    <col min="3" max="3" width="8.33203125" customWidth="1"/>
    <col min="4" max="4" width="7.83203125" customWidth="1"/>
    <col min="5" max="5" width="8" customWidth="1"/>
    <col min="6" max="6" width="7.5" customWidth="1"/>
    <col min="7" max="7" width="9.1640625" customWidth="1"/>
    <col min="8" max="8" width="8.5" customWidth="1"/>
    <col min="9" max="9" width="7.5" customWidth="1"/>
    <col min="11" max="11" width="7.5" customWidth="1"/>
    <col min="13" max="14" width="7.83203125" customWidth="1"/>
    <col min="15" max="15" width="8.5" customWidth="1"/>
    <col min="16" max="16" width="8.33203125" customWidth="1"/>
    <col min="17" max="17" width="7.1640625" customWidth="1"/>
    <col min="18" max="18" width="6.33203125" customWidth="1"/>
    <col min="19" max="19" width="8" customWidth="1"/>
    <col min="20" max="20" width="6.5" customWidth="1"/>
    <col min="21" max="21" width="8" customWidth="1"/>
    <col min="22" max="22" width="12.33203125" style="35" customWidth="1"/>
    <col min="23" max="23" width="7.5" customWidth="1"/>
    <col min="24" max="24" width="8.6640625" style="35" customWidth="1"/>
    <col min="25" max="26" width="13.33203125" style="35" customWidth="1"/>
    <col min="27" max="27" width="8" customWidth="1"/>
    <col min="28" max="28" width="11.6640625" customWidth="1"/>
    <col min="29" max="29" width="11.6640625" style="35" customWidth="1"/>
    <col min="30" max="30" width="11.6640625" customWidth="1"/>
    <col min="33" max="33" width="4" customWidth="1"/>
    <col min="34" max="34" width="11.6640625" bestFit="1" customWidth="1"/>
    <col min="35" max="36" width="11.33203125" customWidth="1"/>
    <col min="37" max="37" width="4.6640625" customWidth="1"/>
    <col min="38" max="39" width="8.33203125" style="101" customWidth="1"/>
    <col min="41" max="41" width="3.83203125" style="68" customWidth="1"/>
    <col min="42" max="42" width="5.1640625" customWidth="1"/>
    <col min="43" max="43" width="11.1640625" customWidth="1"/>
    <col min="44" max="44" width="11.33203125" customWidth="1"/>
  </cols>
  <sheetData>
    <row r="1" spans="1:47" ht="18">
      <c r="A1" s="1" t="s">
        <v>75</v>
      </c>
      <c r="B1" s="11"/>
      <c r="C1" s="11"/>
      <c r="D1" s="47" t="s">
        <v>60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6" t="s">
        <v>45</v>
      </c>
      <c r="W1" s="1"/>
      <c r="X1" s="37"/>
      <c r="Y1" s="37"/>
      <c r="Z1" s="37"/>
      <c r="AA1" s="1"/>
      <c r="AB1" s="2"/>
      <c r="AC1" s="32"/>
      <c r="AD1" s="2"/>
      <c r="AE1" s="2"/>
      <c r="AF1" s="2"/>
      <c r="AG1" s="1"/>
      <c r="AH1" s="1"/>
      <c r="AI1" s="1"/>
      <c r="AJ1" s="1"/>
      <c r="AK1" s="1"/>
      <c r="AL1" s="19"/>
      <c r="AM1" s="19"/>
      <c r="AN1" s="1"/>
      <c r="AO1" s="67"/>
    </row>
    <row r="2" spans="1:47" ht="19" thickBot="1">
      <c r="A2" s="29"/>
      <c r="B2" s="1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2">
        <v>36</v>
      </c>
      <c r="W2" s="1"/>
      <c r="X2" s="37"/>
      <c r="Y2" s="37"/>
      <c r="Z2" s="37"/>
      <c r="AA2" s="1"/>
      <c r="AB2" s="2"/>
      <c r="AC2" s="32"/>
      <c r="AD2" s="2"/>
      <c r="AE2" s="2"/>
      <c r="AF2" s="2"/>
      <c r="AG2" s="1"/>
      <c r="AH2" s="1"/>
      <c r="AI2" s="1"/>
      <c r="AJ2" s="1"/>
      <c r="AK2" s="1"/>
      <c r="AL2" s="19"/>
      <c r="AM2" s="19"/>
      <c r="AN2" s="1"/>
      <c r="AO2" s="67"/>
      <c r="AR2" s="35" t="s">
        <v>73</v>
      </c>
    </row>
    <row r="3" spans="1:47" ht="18">
      <c r="A3" s="29" t="s">
        <v>23</v>
      </c>
      <c r="B3" s="12">
        <v>8.5</v>
      </c>
      <c r="C3" s="12">
        <v>8.5</v>
      </c>
      <c r="D3" s="13">
        <v>21.5</v>
      </c>
      <c r="E3" s="13">
        <v>33</v>
      </c>
      <c r="F3" s="13">
        <v>25</v>
      </c>
      <c r="G3" s="13">
        <v>88</v>
      </c>
      <c r="H3" s="13">
        <v>37</v>
      </c>
      <c r="I3" s="13">
        <v>92</v>
      </c>
      <c r="J3" s="13">
        <v>3.4</v>
      </c>
      <c r="K3" s="13">
        <v>98</v>
      </c>
      <c r="L3" s="13">
        <v>42</v>
      </c>
      <c r="M3" s="13">
        <v>35</v>
      </c>
      <c r="N3" s="29" t="s">
        <v>23</v>
      </c>
      <c r="O3" s="13">
        <v>5</v>
      </c>
      <c r="P3" s="13">
        <v>45</v>
      </c>
      <c r="Q3" s="38">
        <v>2.5</v>
      </c>
      <c r="R3" s="13"/>
      <c r="S3" s="13"/>
      <c r="T3" s="13"/>
      <c r="U3" s="13">
        <v>7</v>
      </c>
      <c r="V3" s="38">
        <v>25</v>
      </c>
      <c r="W3" s="13">
        <v>8</v>
      </c>
      <c r="X3" s="38">
        <v>95</v>
      </c>
      <c r="Y3" s="38"/>
      <c r="Z3" s="38"/>
      <c r="AA3" s="1"/>
      <c r="AB3" s="2"/>
      <c r="AC3" s="32"/>
      <c r="AD3" s="2"/>
      <c r="AE3" s="2"/>
      <c r="AF3" s="2"/>
      <c r="AG3" s="1"/>
      <c r="AI3" s="6" t="s">
        <v>34</v>
      </c>
      <c r="AJ3" s="6" t="s">
        <v>35</v>
      </c>
      <c r="AK3" s="1"/>
      <c r="AL3" s="19"/>
      <c r="AM3" s="19"/>
      <c r="AN3" s="1"/>
      <c r="AO3" s="67"/>
      <c r="AQ3" t="s">
        <v>72</v>
      </c>
      <c r="AR3" s="109">
        <v>0.6</v>
      </c>
    </row>
    <row r="4" spans="1:47" ht="18">
      <c r="A4" s="29" t="s">
        <v>24</v>
      </c>
      <c r="B4" s="12">
        <v>76.5</v>
      </c>
      <c r="C4" s="12">
        <v>76.5</v>
      </c>
      <c r="D4" s="13">
        <v>83</v>
      </c>
      <c r="E4" s="13">
        <v>93</v>
      </c>
      <c r="F4" s="13">
        <v>85</v>
      </c>
      <c r="G4" s="13">
        <v>88</v>
      </c>
      <c r="H4" s="13">
        <v>85</v>
      </c>
      <c r="I4" s="13">
        <v>85</v>
      </c>
      <c r="J4" s="13">
        <v>63.3</v>
      </c>
      <c r="K4" s="13">
        <v>80</v>
      </c>
      <c r="L4" s="13">
        <v>90</v>
      </c>
      <c r="M4" s="13">
        <v>85</v>
      </c>
      <c r="N4" s="29" t="s">
        <v>24</v>
      </c>
      <c r="O4" s="13">
        <v>96.6</v>
      </c>
      <c r="P4" s="13">
        <v>99</v>
      </c>
      <c r="Q4" s="38">
        <v>95</v>
      </c>
      <c r="R4" s="13"/>
      <c r="S4" s="13"/>
      <c r="T4" s="13"/>
      <c r="U4" s="13">
        <v>95</v>
      </c>
      <c r="V4" s="38">
        <v>95</v>
      </c>
      <c r="W4" s="13">
        <v>92</v>
      </c>
      <c r="X4" s="38">
        <v>90</v>
      </c>
      <c r="Y4" s="38"/>
      <c r="Z4" s="38"/>
      <c r="AA4" s="1"/>
      <c r="AB4" s="2"/>
      <c r="AC4" s="32"/>
      <c r="AD4" s="2"/>
      <c r="AE4" s="2"/>
      <c r="AF4" s="2"/>
      <c r="AG4" s="1"/>
      <c r="AH4" s="4" t="s">
        <v>64</v>
      </c>
      <c r="AI4" s="7">
        <v>106000</v>
      </c>
      <c r="AJ4" s="7">
        <v>317000</v>
      </c>
      <c r="AK4" s="1"/>
      <c r="AL4" s="19"/>
      <c r="AM4" s="19"/>
      <c r="AN4" s="1"/>
      <c r="AO4" s="67"/>
    </row>
    <row r="5" spans="1:47" ht="18">
      <c r="A5" s="29" t="s">
        <v>61</v>
      </c>
      <c r="B5" s="12">
        <v>19</v>
      </c>
      <c r="C5" s="12">
        <v>19</v>
      </c>
      <c r="D5" s="13">
        <v>20</v>
      </c>
      <c r="E5" s="13">
        <v>40</v>
      </c>
      <c r="F5" s="13">
        <v>15</v>
      </c>
      <c r="G5" s="13">
        <v>25</v>
      </c>
      <c r="H5" s="13">
        <v>15</v>
      </c>
      <c r="I5" s="13">
        <v>60</v>
      </c>
      <c r="J5" s="13">
        <v>2.7</v>
      </c>
      <c r="K5" s="13">
        <v>175</v>
      </c>
      <c r="L5" s="13">
        <v>20</v>
      </c>
      <c r="M5" s="13">
        <v>30</v>
      </c>
      <c r="N5" s="29" t="s">
        <v>25</v>
      </c>
      <c r="O5" s="13">
        <v>6</v>
      </c>
      <c r="P5" s="13">
        <v>100</v>
      </c>
      <c r="Q5" s="38">
        <v>75</v>
      </c>
      <c r="R5" s="13"/>
      <c r="S5" s="13"/>
      <c r="T5" s="13"/>
      <c r="U5" s="13">
        <v>20</v>
      </c>
      <c r="V5" s="38">
        <v>20</v>
      </c>
      <c r="W5" s="13">
        <v>20</v>
      </c>
      <c r="X5" s="38">
        <v>98</v>
      </c>
      <c r="Y5" s="38"/>
      <c r="Z5" s="38"/>
      <c r="AA5" s="1"/>
      <c r="AB5" s="2"/>
      <c r="AC5" s="32"/>
      <c r="AD5" s="2"/>
      <c r="AE5" s="2"/>
      <c r="AF5" s="2"/>
      <c r="AG5" s="1"/>
      <c r="AH5" s="4" t="s">
        <v>36</v>
      </c>
      <c r="AI5" s="105">
        <v>0.65</v>
      </c>
      <c r="AJ5" s="105">
        <v>1</v>
      </c>
      <c r="AK5" s="1"/>
      <c r="AL5" s="19"/>
      <c r="AM5" s="19"/>
      <c r="AN5" s="1"/>
      <c r="AO5" s="67"/>
      <c r="AR5" s="35" t="s">
        <v>73</v>
      </c>
    </row>
    <row r="6" spans="1:47" s="35" customFormat="1" ht="18">
      <c r="A6" s="5" t="s">
        <v>26</v>
      </c>
      <c r="B6" s="106">
        <v>1</v>
      </c>
      <c r="C6" s="106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5" t="s">
        <v>26</v>
      </c>
      <c r="O6" s="38">
        <v>1</v>
      </c>
      <c r="P6" s="38">
        <v>1</v>
      </c>
      <c r="Q6" s="38">
        <v>1</v>
      </c>
      <c r="R6" s="38"/>
      <c r="S6" s="38"/>
      <c r="T6" s="38"/>
      <c r="U6" s="38">
        <v>1</v>
      </c>
      <c r="V6" s="38">
        <v>1</v>
      </c>
      <c r="W6" s="38">
        <v>1</v>
      </c>
      <c r="X6" s="38">
        <v>1</v>
      </c>
      <c r="Y6" s="38"/>
      <c r="Z6" s="38"/>
      <c r="AA6" s="37"/>
      <c r="AB6" s="32"/>
      <c r="AC6" s="32"/>
      <c r="AD6" s="32"/>
      <c r="AE6" s="32"/>
      <c r="AF6" s="32"/>
      <c r="AG6" s="37"/>
      <c r="AH6" s="74" t="s">
        <v>65</v>
      </c>
      <c r="AI6" s="36">
        <f>AI4*AI5</f>
        <v>68900</v>
      </c>
      <c r="AJ6" s="36">
        <f>AJ4*AJ5</f>
        <v>317000</v>
      </c>
      <c r="AK6" s="37"/>
      <c r="AL6" s="107"/>
      <c r="AM6" s="107"/>
      <c r="AN6" s="37"/>
      <c r="AO6" s="108"/>
      <c r="AQ6" t="s">
        <v>58</v>
      </c>
      <c r="AR6" s="109">
        <v>0.38800000000000001</v>
      </c>
    </row>
    <row r="7" spans="1:47" ht="18">
      <c r="A7" s="29" t="s">
        <v>29</v>
      </c>
      <c r="B7" s="83">
        <v>1</v>
      </c>
      <c r="C7" s="83">
        <v>1</v>
      </c>
      <c r="D7" s="14">
        <v>1</v>
      </c>
      <c r="E7" s="14">
        <v>0.95</v>
      </c>
      <c r="F7" s="14">
        <v>0.95</v>
      </c>
      <c r="G7" s="14">
        <v>0.5</v>
      </c>
      <c r="H7" s="14">
        <v>0.75</v>
      </c>
      <c r="I7" s="14">
        <v>0.65</v>
      </c>
      <c r="J7" s="14">
        <v>1</v>
      </c>
      <c r="K7" s="14">
        <v>0.3</v>
      </c>
      <c r="L7" s="14">
        <v>0.6</v>
      </c>
      <c r="M7" s="14">
        <v>0.7</v>
      </c>
      <c r="N7" s="29" t="s">
        <v>29</v>
      </c>
      <c r="O7" s="14">
        <v>1</v>
      </c>
      <c r="P7" s="14">
        <v>1</v>
      </c>
      <c r="Q7" s="39">
        <v>1</v>
      </c>
      <c r="R7" s="14"/>
      <c r="S7" s="14"/>
      <c r="T7" s="14"/>
      <c r="U7" s="14">
        <v>1</v>
      </c>
      <c r="V7" s="39">
        <v>1</v>
      </c>
      <c r="W7" s="14">
        <v>1</v>
      </c>
      <c r="X7" s="39">
        <v>1</v>
      </c>
      <c r="Y7" s="39"/>
      <c r="Z7" s="39"/>
      <c r="AB7" s="3"/>
      <c r="AC7" s="33"/>
      <c r="AD7" s="3"/>
      <c r="AE7" s="3"/>
      <c r="AF7" s="3"/>
      <c r="AH7" s="4" t="s">
        <v>71</v>
      </c>
      <c r="AJ7" s="68" t="s">
        <v>68</v>
      </c>
      <c r="AQ7" s="134" t="s">
        <v>59</v>
      </c>
      <c r="AR7" s="134"/>
    </row>
    <row r="8" spans="1:47" ht="18">
      <c r="A8" s="48" t="s">
        <v>74</v>
      </c>
      <c r="B8" s="84">
        <v>320</v>
      </c>
      <c r="C8" s="84">
        <v>320</v>
      </c>
      <c r="D8" s="85">
        <v>300</v>
      </c>
      <c r="E8" s="85">
        <v>660</v>
      </c>
      <c r="F8" s="85">
        <v>550</v>
      </c>
      <c r="G8" s="86">
        <v>500</v>
      </c>
      <c r="H8" s="85">
        <v>450</v>
      </c>
      <c r="I8" s="87">
        <v>333</v>
      </c>
      <c r="J8" s="88">
        <v>0</v>
      </c>
      <c r="K8" s="87">
        <v>333</v>
      </c>
      <c r="L8" s="87">
        <v>333</v>
      </c>
      <c r="M8" s="85">
        <v>450</v>
      </c>
      <c r="N8" s="1"/>
      <c r="O8" s="89">
        <v>500</v>
      </c>
      <c r="P8" s="90">
        <v>800</v>
      </c>
      <c r="Q8" s="91">
        <v>800</v>
      </c>
      <c r="U8" s="90">
        <v>700</v>
      </c>
      <c r="V8" s="91">
        <v>700</v>
      </c>
      <c r="W8" s="92">
        <v>900</v>
      </c>
      <c r="X8" s="91">
        <v>900</v>
      </c>
      <c r="AB8" s="3"/>
      <c r="AC8" s="5"/>
      <c r="AD8" s="3"/>
      <c r="AE8" s="3"/>
      <c r="AF8" s="3"/>
      <c r="AH8" s="99"/>
      <c r="AI8" s="100" t="s">
        <v>37</v>
      </c>
      <c r="AJ8" s="100"/>
      <c r="AL8" s="135" t="s">
        <v>69</v>
      </c>
      <c r="AM8" s="135"/>
      <c r="AN8" s="135"/>
      <c r="AO8" s="135"/>
      <c r="AQ8" s="4" t="s">
        <v>54</v>
      </c>
      <c r="AR8" s="4" t="s">
        <v>54</v>
      </c>
    </row>
    <row r="9" spans="1:47">
      <c r="B9" s="136" t="s">
        <v>18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O9" s="137" t="s">
        <v>42</v>
      </c>
      <c r="P9" s="137"/>
      <c r="Q9" s="137"/>
      <c r="R9" s="137"/>
      <c r="S9" s="50"/>
      <c r="T9" s="50"/>
      <c r="U9" s="50"/>
      <c r="V9" s="50"/>
      <c r="W9" s="50"/>
      <c r="X9" s="50"/>
      <c r="Y9" s="138" t="s">
        <v>51</v>
      </c>
      <c r="Z9" s="138"/>
      <c r="AA9" s="5"/>
      <c r="AB9" s="49" t="s">
        <v>0</v>
      </c>
      <c r="AC9" s="50" t="s">
        <v>1</v>
      </c>
      <c r="AD9" s="5" t="s">
        <v>2</v>
      </c>
      <c r="AE9" s="49" t="s">
        <v>3</v>
      </c>
      <c r="AF9" s="50" t="s">
        <v>4</v>
      </c>
      <c r="AG9" s="4"/>
      <c r="AH9" s="4"/>
      <c r="AI9" s="6" t="s">
        <v>34</v>
      </c>
      <c r="AJ9" s="6" t="s">
        <v>35</v>
      </c>
      <c r="AK9" s="4"/>
      <c r="AL9" s="19"/>
      <c r="AM9" s="19"/>
      <c r="AN9" s="4" t="s">
        <v>39</v>
      </c>
      <c r="AO9" s="6"/>
      <c r="AQ9" s="4" t="s">
        <v>55</v>
      </c>
      <c r="AR9" s="4" t="s">
        <v>56</v>
      </c>
    </row>
    <row r="10" spans="1:47" ht="45">
      <c r="A10" s="6" t="s">
        <v>62</v>
      </c>
      <c r="B10" s="93" t="s">
        <v>6</v>
      </c>
      <c r="C10" s="94" t="s">
        <v>5</v>
      </c>
      <c r="D10" s="93" t="s">
        <v>7</v>
      </c>
      <c r="E10" s="93" t="s">
        <v>28</v>
      </c>
      <c r="F10" s="93" t="s">
        <v>27</v>
      </c>
      <c r="G10" s="93" t="s">
        <v>31</v>
      </c>
      <c r="H10" s="93" t="s">
        <v>32</v>
      </c>
      <c r="I10" s="93" t="s">
        <v>33</v>
      </c>
      <c r="J10" s="93" t="s">
        <v>8</v>
      </c>
      <c r="K10" s="93" t="s">
        <v>9</v>
      </c>
      <c r="L10" s="93" t="s">
        <v>30</v>
      </c>
      <c r="M10" s="93" t="s">
        <v>10</v>
      </c>
      <c r="N10" s="9" t="s">
        <v>62</v>
      </c>
      <c r="O10" s="94" t="s">
        <v>11</v>
      </c>
      <c r="P10" s="94" t="s">
        <v>44</v>
      </c>
      <c r="Q10" s="94" t="s">
        <v>12</v>
      </c>
      <c r="R10" s="94" t="s">
        <v>13</v>
      </c>
      <c r="S10" s="94" t="s">
        <v>14</v>
      </c>
      <c r="T10" s="94" t="s">
        <v>15</v>
      </c>
      <c r="U10" s="94" t="s">
        <v>43</v>
      </c>
      <c r="V10" s="95" t="s">
        <v>52</v>
      </c>
      <c r="W10" s="94" t="s">
        <v>22</v>
      </c>
      <c r="X10" s="95" t="s">
        <v>41</v>
      </c>
      <c r="Y10" s="97" t="s">
        <v>47</v>
      </c>
      <c r="Z10" s="97" t="s">
        <v>46</v>
      </c>
      <c r="AA10" s="6"/>
      <c r="AB10" s="29" t="s">
        <v>16</v>
      </c>
      <c r="AC10" s="5" t="s">
        <v>16</v>
      </c>
      <c r="AD10" s="29" t="s">
        <v>16</v>
      </c>
      <c r="AE10" s="3" t="s">
        <v>17</v>
      </c>
      <c r="AF10" s="3" t="s">
        <v>17</v>
      </c>
      <c r="AH10" s="6" t="s">
        <v>66</v>
      </c>
      <c r="AI10" s="4" t="s">
        <v>67</v>
      </c>
      <c r="AJ10" s="4" t="s">
        <v>67</v>
      </c>
      <c r="AL10" s="20" t="s">
        <v>25</v>
      </c>
      <c r="AM10" s="20" t="s">
        <v>26</v>
      </c>
      <c r="AN10" s="6" t="s">
        <v>38</v>
      </c>
      <c r="AO10" s="6" t="s">
        <v>26</v>
      </c>
      <c r="AQ10" s="6" t="s">
        <v>53</v>
      </c>
      <c r="AR10" s="6" t="s">
        <v>57</v>
      </c>
    </row>
    <row r="11" spans="1:47">
      <c r="A11">
        <v>1</v>
      </c>
      <c r="B11" s="110">
        <v>4000</v>
      </c>
      <c r="C11" s="23">
        <v>2000</v>
      </c>
      <c r="D11" s="23">
        <f>8*120</f>
        <v>960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111">
        <v>0</v>
      </c>
      <c r="N11" s="8">
        <v>1</v>
      </c>
      <c r="O11" s="110">
        <f>1200+4000</f>
        <v>5200</v>
      </c>
      <c r="P11" s="23">
        <v>1000</v>
      </c>
      <c r="Q11" s="23">
        <v>0</v>
      </c>
      <c r="R11" s="23">
        <v>30</v>
      </c>
      <c r="S11" s="23">
        <v>0</v>
      </c>
      <c r="T11" s="23">
        <v>0</v>
      </c>
      <c r="U11" s="23">
        <f>1000+1300</f>
        <v>2300</v>
      </c>
      <c r="V11" s="23">
        <v>15</v>
      </c>
      <c r="W11" s="23">
        <f>325*3</f>
        <v>975</v>
      </c>
      <c r="X11" s="23">
        <v>0</v>
      </c>
      <c r="Y11" s="23">
        <v>70</v>
      </c>
      <c r="Z11" s="111" t="s">
        <v>78</v>
      </c>
      <c r="AB11" s="10">
        <f t="shared" ref="AB11:AB40" si="0">SUM(B11:M11)</f>
        <v>6960</v>
      </c>
      <c r="AC11" s="34">
        <f>O11+P11+Q11+R11+U11+(V11*$V$2)+W11+X11+Y11</f>
        <v>10115</v>
      </c>
      <c r="AD11" s="10">
        <f t="shared" ref="AD11:AD40" si="1">SUM(AB11:AC11)</f>
        <v>17075</v>
      </c>
      <c r="AE11" s="72">
        <f t="shared" ref="AE11:AE40" si="2">(AB11*100)/AD11</f>
        <v>40.761346998535871</v>
      </c>
      <c r="AF11" s="72">
        <f t="shared" ref="AF11:AF40" si="3">(AC11*100)/AD11</f>
        <v>59.238653001464129</v>
      </c>
      <c r="AH11" s="70">
        <f t="shared" ref="AH11:AH40" si="4">((B11*8.34*$B$7*($B$3/100))*($B$4/100))+((C11*8.34*$C$7*($C$3/100))*($C$4/100))+ ((D11*8.34*$D$7*($D$3/100))*($D$4/100))+((E11*8.34*$E$7*($E$3/100))*($E$4/100))+ ((F11*8.34*$F$7*($F$3/100))*($F$4/100))+((G11*8.34*$G$7*($G$3/100))*($G$4/100))+ ((H11*8.34*$H$7*($H$3/100))*($H$4/100))+((I11*8.34*$I$7*($I$3/100))*($I$4/100))+ ((J11*8.34*$J$7*($J$3/100))*($J$4/100))+((K11*8.34*$K$7*($K$3/100))*($K$4/100))+ ((L11*8.34*$L$7*($L$3/100))*($L$4/100))+((M11*8.34*$M$7*($M$3/100))*($M$4/100))+ ((O11*8.34*$O$7*($O$3/100))*($O$4/100))+((P11*8.34*$P$7*($P$3/100))*($P$4/100))+
((Q11*8.34*$Q$7*($Q$3/100))*($Q$4/100))+((R11*8.34*$R$7*($R$3/100))*($R$4/100))+
((U11*8.34*$U$7*($U$3/100))*($U$4/100))+(((V11*$V$2)*8.34*$V$7*($V$3/100))*($V$4/100))+
((W11*8.34*$W$7*($W$3/100))*($W$4/100))+((X11*8.34*$X$7*($X$3/100))*($X$4/100))</f>
        <v>13436.423879999998</v>
      </c>
      <c r="AI11" s="17">
        <f t="shared" ref="AI11:AI40" si="5">AH11/$AI$6</f>
        <v>0.1950134089985486</v>
      </c>
      <c r="AJ11" s="17">
        <f t="shared" ref="AJ11:AJ40" si="6">AH11/$AJ$6</f>
        <v>4.2386195205047314E-2</v>
      </c>
      <c r="AL11" s="102">
        <f t="shared" ref="AL11:AL40" si="7">((((B11*8.34*$B$7*($B$3/100))*($B$4/100))/($B$5+$B$6))*$B$5)
+((((C11*8.34*$C$7*($C$3/100))*($C$4/100))/($C$5+$C$6))*$C$5)
+((((D11*8.34*$D$7*($D$3/100))*($D$4/100))/($D$5+$D$6))*$D$5)
+((((E11*8.34*$E$7*($E$3/100))*($E$4/100))/($E$5+$E$6))*$E$5)
+((((F11*8.34*$F$7*($F$3/100))*($F$4/100))/($F$5+$F$6))*$F$5)
+((((G11*8.34*$G$7*($G$3/100))*($G$4/100))/($G$5+$G$6))*$G$5)
+((((H11*8.34*$H$7*($H$3/100))*($H$4/100))/($H$5+$H$6))*$H$5)
+((((I11*8.34*$I$7*($I$3/100))*($I$4/100))/($I$5+$I$6))*$I$5)
+((((J11*8.34*$J$7*($J$3/100))*($J$4/100))/($J$5+$J$6))*$J$5)
+((((K11*8.34*$K$7*($K$3/100))*($K$4/100))/($K$5+$K$6))*$K$5)
+((((L11*8.34*$L$7*($L$3/100))*($L$4/100))/($L$5+$L$6))*$L$5)
+((((M11*8.34*$M$7*($M$3/100))*($M$4/100))/($M$5+$M$6))*$M$5)
+((((O11*8.34*$O$7*($O$3/100))*($O$4/100))/($O$5+$O$6))*$O$5)
+((((P11*8.34*$P$7*($P$3/100))*($P$4/100))/($P$5+$P$6))*$P$5)
+((((Q11*8.34*$Q$7*($Q$3/100))*($Q$4/100))/($Q$5+$Q$6))*$Q$5)
+((((U11*8.34*$U$7*($U$3/100))*($U$4/100))/($U$5+$U$6))*$U$5)
+(((((V11*$V$2)*8.34*$V$7*($V$3/100))*($V$4/100))/($V$5+$V$6))*$V$5)
+((((W11*8.34*$W$7*($W$3/100))*($W$4/100))/($W$5+$W$6))*$W$5)
+((((X11*8.34*$X$7*($X$3/100))*($X$4/100))/($X$5+$X$6))*$X$5)</f>
        <v>12729.494418316832</v>
      </c>
      <c r="AM11" s="102">
        <f t="shared" ref="AM11:AM40" si="8">((((B11*8.34*$B$7*($B$3/100))*($B$4/100))/($B$5+$B$6))*$B$6)
+((((C11*8.34*$C$7*($C$3/100))*($C$4/100))/($C$5+$C$6))*$C$6)
+((((D11*8.34*$D$7*($D$3/100))*($D$4/100))/($D$5+$D$6))*$D$6)
+((((E11*8.34*$E$7*($E$3/100))*($E$4/100))/($E$5+$E$6))*$E$6)
+((((F11*8.34*$F$7*($F$3/100))*($F$4/100))/($F$5+$F$6))*$F$6)
+((((G11*8.34*$G$7*($G$3/100))*($G$4/100))/($G$5+$G$6))*$G$6)
+((((H11*8.34*$H$7*($H$3/100))*($H$4/100))/($H$5+$H$6))*$H$6)
+((((I11*8.34*$I$7*($I$3/100))*($I$4/100))/($I$5+$I$6))*$I$6)
+((((J11*8.34*$J$7*($J$3/100))*($J$4/100))/($J$5+$J$6))*$J$6)
+((((K11*8.34*$K$7*($K$3/100))*($K$4/100))/($K$5+$K$6))*$K$6)
+((((L11*8.34*$L$7*($L$3/100))*($L$4/100))/($L$5+$L$6))*$L$6)
+((((M11*8.34*$M$7*($M$3/100))*($M$4/100))/($M$5+$M$6))*$M$6)
+((((O11*8.34*$O$7*($O$3/100))*($O$4/100))/($O$5+$O$6))*$O$6)
+((((P11*8.34*$P$7*($P$3/100))*($P$4/100))/($P$5+$P$6))*$P$6)
+((((Q11*8.34*$Q$7*($Q$3/100))*($Q$4/100))/($Q$5+$Q$6))*$Q$6)
+((((U11*8.34*$U$7*($U$3/100))*($U$4/100))/($U$5+$U$6))*$U$6)
+(((((V11*$V$2) *8.34*$V$7*($V$3/100))*($V$4/100))/($V$5+$V$6))*$V$6)
+((((W11*8.34*$W$7*($W$3/100))*($W$4/100))/($W$5+$W$6))*$W$6)
+((((X11*8.34*$X$7*($X$3/100))*($X$4/100))/($X$5+$X$6))*$X$6)</f>
        <v>706.92946168316837</v>
      </c>
      <c r="AN11" s="46">
        <f>((AL11+AM11)/AM11)-1</f>
        <v>18.006739156136536</v>
      </c>
      <c r="AO11" s="68">
        <v>1</v>
      </c>
      <c r="AQ11" s="18">
        <f>(B11*($B$3/100)*($B$4/100)*$B$7*8.34*0.000453592*$B$8)+
(C11*($C$3/100)*($C$4/100)*$C$7*8.34*0.000453592*$C$8)+
(D11*($D$3/100)*($D$4/100)*$D$7*8.34*0.000453592*$D$8)+
(E11*($E$3/100)*($E$4/100)*$E$7*8.34*0.000453592*$E$8)+
(F11*($F$3/100)*($F$4/100)*$F$7*8.34*0.000453592*$F$8)+
(G11*($G$3/100)*($G$4/100)*$G$7*8.34*0.000453592*$G$8)+
(H11*($H$3/100)*($H$4/100)*$H$7*8.34*0.000453592*$H$8)+
(I11*($I$3/100)*($I$4/100)*$I$7*8.34*0.000453592*$I$8)+
(J11*($J$3/100)*($J$4/100)*$J$7*8.34*0.000453592*$J$8)+
(K11*($K$3/100)*($K$4/100)*$K$7*8.34*0.000453592*$K$8)+
(L11*($L$3/100)*($L$4/100)*$L$7*8.34*0.000453592*$L$8)+
(M11*($M$3/100)*($M$4/100)*$M$7*8.34*0.000453592*$M$8)+
(O11*($O$3/100)*($O$4/100)*$O$7*8.34*0.000453592*$O$8)+
(P11*($P$3/100)*($P$4/100)*$P$7*8.34*0.000453592*$P$8)+
(Q11*($Q$3/100)*($Q$4/100)*$Q$7*8.34*0.000453592*$Q$8)+
(U11*($U$3/100)*($U$4/100)*$U$7*8.34*0.000453592*$U$8)+
(V11*$V$2*($V$3/100)*($BV$4/100)*$V$7*8.34*0.000453592*$V$8)+
(W11*($W$3/100)*($W$4/100)*$W$7*8.34*0.000453592*$W$8)+
(X11*($X$3/100)*($X$4/100)*$X$7*8.34*0.000453592*$X$8)</f>
        <v>3139.3650277279676</v>
      </c>
      <c r="AR11" s="18">
        <f>AQ11*$AR$3*10*$AR$6</f>
        <v>7308.4417845507096</v>
      </c>
      <c r="AU11" s="40"/>
    </row>
    <row r="12" spans="1:47">
      <c r="A12">
        <v>2</v>
      </c>
      <c r="B12" s="112">
        <v>4000</v>
      </c>
      <c r="C12" s="26">
        <v>2000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3000</v>
      </c>
      <c r="K12" s="26">
        <v>0</v>
      </c>
      <c r="L12" s="26">
        <v>0</v>
      </c>
      <c r="M12" s="113">
        <v>0</v>
      </c>
      <c r="N12" s="8">
        <v>2</v>
      </c>
      <c r="O12" s="112">
        <v>0</v>
      </c>
      <c r="P12" s="26">
        <v>2000</v>
      </c>
      <c r="Q12" s="26">
        <v>0</v>
      </c>
      <c r="R12" s="26">
        <v>30</v>
      </c>
      <c r="S12" s="26">
        <v>0</v>
      </c>
      <c r="T12" s="26">
        <v>0</v>
      </c>
      <c r="U12" s="26">
        <v>2000</v>
      </c>
      <c r="V12" s="59">
        <v>0</v>
      </c>
      <c r="W12" s="59">
        <v>0</v>
      </c>
      <c r="X12" s="26">
        <v>0</v>
      </c>
      <c r="Y12" s="26">
        <v>0</v>
      </c>
      <c r="Z12" s="113"/>
      <c r="AB12" s="10">
        <f t="shared" si="0"/>
        <v>9000</v>
      </c>
      <c r="AC12" s="34">
        <f>O12+P12+Q12+R12+U12+(V12*$V$2)+W12+X12+Y12</f>
        <v>4030</v>
      </c>
      <c r="AD12" s="10">
        <f t="shared" si="1"/>
        <v>13030</v>
      </c>
      <c r="AE12" s="72">
        <f t="shared" si="2"/>
        <v>69.071373752877975</v>
      </c>
      <c r="AF12" s="72">
        <f t="shared" si="3"/>
        <v>30.928626247122025</v>
      </c>
      <c r="AH12" s="70">
        <f t="shared" si="4"/>
        <v>12332.49144</v>
      </c>
      <c r="AI12" s="17">
        <f t="shared" si="5"/>
        <v>0.17899116748911464</v>
      </c>
      <c r="AJ12" s="17">
        <f t="shared" si="6"/>
        <v>3.8903758485804414E-2</v>
      </c>
      <c r="AL12" s="102">
        <f t="shared" si="7"/>
        <v>11897.869972579609</v>
      </c>
      <c r="AM12" s="102">
        <f t="shared" si="8"/>
        <v>434.62146742039073</v>
      </c>
      <c r="AN12" s="46">
        <f t="shared" ref="AN12:AN40" si="9">((AL12+AM12)/AM12)-1</f>
        <v>27.37524688597885</v>
      </c>
      <c r="AO12" s="68">
        <v>1</v>
      </c>
      <c r="AQ12" s="18">
        <f t="shared" ref="AQ12:AQ40" si="10">(B12*($B$3/100)*($B$4/100)*$B$7*8.34*0.000453592*$B$8)+
(C12*($C$3/100)*($C$4/100)*$C$7*8.34*0.000453592*$C$8)+
(D12*($D$3/100)*($D$4/100)*$D$7*8.34*0.000453592*$D$8)+
(E12*($E$3/100)*($E$4/100)*$E$7*8.34*0.000453592*$E$8)+
(F12*($F$3/100)*($F$4/100)*$F$7*8.34*0.000453592*$F$8)+
(G12*($G$3/100)*($G$4/100)*$G$7*8.34*0.000453592*$G$8)+
(H12*($H$3/100)*($H$4/100)*$H$7*8.34*0.000453592*$H$8)+
(I12*($I$3/100)*($I$4/100)*$I$7*8.34*0.000453592*$I$8)+
(J12*($J$3/100)*($J$4/100)*$J$7*8.34*0.000453592*$J$8)+
(K12*($K$3/100)*($K$4/100)*$K$7*8.34*0.000453592*$K$8)+
(L12*($L$3/100)*($L$4/100)*$L$7*8.34*0.000453592*$L$8)+
(M12*($M$3/100)*($M$4/100)*$M$7*8.34*0.000453592*$M$8)+
(O12*($O$3/100)*($O$4/100)*$O$7*8.34*0.000453592*$O$8)+
(P12*($P$3/100)*($P$4/100)*$P$7*8.34*0.000453592*$P$8)+
(Q12*($Q$3/100)*($Q$4/100)*$Q$7*8.34*0.000453592*$Q$8)+
(U12*($U$3/100)*($U$4/100)*$U$7*8.34*0.000453592*$U$8)+
(V12*$V$2*($V$3/100)*($BV$4/100)*$V$7*8.34*0.000453592*$V$8)+
(W12*($W$3/100)*($W$4/100)*$W$7*8.34*0.000453592*$W$8)+
(X12*($X$3/100)*($X$4/100)*$X$7*8.34*0.000453592*$X$8)</f>
        <v>3520.9799224454405</v>
      </c>
      <c r="AR12" s="18">
        <f t="shared" ref="AR12:AR40" si="11">AQ12*$AR$3*10*$AR$6</f>
        <v>8196.8412594529855</v>
      </c>
      <c r="AU12" s="40"/>
    </row>
    <row r="13" spans="1:47">
      <c r="A13">
        <v>3</v>
      </c>
      <c r="B13" s="112">
        <v>4000</v>
      </c>
      <c r="C13" s="26">
        <v>2000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4000</v>
      </c>
      <c r="K13" s="26">
        <v>0</v>
      </c>
      <c r="L13" s="26">
        <v>0</v>
      </c>
      <c r="M13" s="113">
        <v>0</v>
      </c>
      <c r="N13" s="8">
        <v>3</v>
      </c>
      <c r="O13" s="112">
        <v>0</v>
      </c>
      <c r="P13" s="26">
        <v>1500</v>
      </c>
      <c r="Q13" s="26">
        <v>0</v>
      </c>
      <c r="R13" s="26">
        <v>30</v>
      </c>
      <c r="S13" s="26">
        <v>0</v>
      </c>
      <c r="T13" s="26">
        <v>0</v>
      </c>
      <c r="U13" s="26">
        <v>800</v>
      </c>
      <c r="V13" s="59">
        <v>0</v>
      </c>
      <c r="W13" s="26">
        <f>325+275</f>
        <v>600</v>
      </c>
      <c r="X13" s="26">
        <v>0</v>
      </c>
      <c r="Y13" s="26">
        <v>0</v>
      </c>
      <c r="Z13" s="113"/>
      <c r="AB13" s="10">
        <f t="shared" si="0"/>
        <v>10000</v>
      </c>
      <c r="AC13" s="34">
        <f t="shared" ref="AC13:AC40" si="12">O13+P13+Q13+R13+U13+(V13*$V$2)+W13+X13+Y13</f>
        <v>2930</v>
      </c>
      <c r="AD13" s="10">
        <f t="shared" si="1"/>
        <v>12930</v>
      </c>
      <c r="AE13" s="72">
        <f t="shared" si="2"/>
        <v>77.33952049497293</v>
      </c>
      <c r="AF13" s="72">
        <f t="shared" si="3"/>
        <v>22.66047950502707</v>
      </c>
      <c r="AH13" s="70">
        <f t="shared" si="4"/>
        <v>10357.012320000002</v>
      </c>
      <c r="AI13" s="17">
        <f t="shared" si="5"/>
        <v>0.15031948214804067</v>
      </c>
      <c r="AJ13" s="17">
        <f t="shared" si="6"/>
        <v>3.2671963154574137E-2</v>
      </c>
      <c r="AL13" s="102">
        <f t="shared" si="7"/>
        <v>9906.4266884984136</v>
      </c>
      <c r="AM13" s="102">
        <f t="shared" si="8"/>
        <v>450.58563150158648</v>
      </c>
      <c r="AN13" s="46">
        <f t="shared" si="9"/>
        <v>21.985669306597792</v>
      </c>
      <c r="AO13" s="68">
        <v>1</v>
      </c>
      <c r="AQ13" s="18">
        <f t="shared" si="10"/>
        <v>2785.89079562496</v>
      </c>
      <c r="AR13" s="18">
        <f t="shared" si="11"/>
        <v>6485.5537722149065</v>
      </c>
      <c r="AU13" s="40"/>
    </row>
    <row r="14" spans="1:47">
      <c r="A14">
        <v>4</v>
      </c>
      <c r="B14" s="112">
        <v>4000</v>
      </c>
      <c r="C14" s="26">
        <v>2000</v>
      </c>
      <c r="D14" s="26">
        <v>1300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f>5000+3000</f>
        <v>8000</v>
      </c>
      <c r="K14" s="26">
        <v>0</v>
      </c>
      <c r="L14" s="26">
        <v>0</v>
      </c>
      <c r="M14" s="113">
        <v>0</v>
      </c>
      <c r="N14" s="8">
        <v>4</v>
      </c>
      <c r="O14" s="112">
        <f>750+4000</f>
        <v>4750</v>
      </c>
      <c r="P14" s="26">
        <v>0</v>
      </c>
      <c r="Q14" s="26">
        <v>0</v>
      </c>
      <c r="R14" s="26">
        <v>30</v>
      </c>
      <c r="S14" s="26">
        <v>0</v>
      </c>
      <c r="T14" s="26">
        <v>0</v>
      </c>
      <c r="U14" s="26">
        <v>400</v>
      </c>
      <c r="V14" s="26">
        <v>15</v>
      </c>
      <c r="W14" s="26">
        <v>0</v>
      </c>
      <c r="X14" s="26">
        <v>0</v>
      </c>
      <c r="Y14" s="26">
        <v>0</v>
      </c>
      <c r="Z14" s="113"/>
      <c r="AB14" s="10">
        <f t="shared" si="0"/>
        <v>15300</v>
      </c>
      <c r="AC14" s="34">
        <f t="shared" si="12"/>
        <v>5720</v>
      </c>
      <c r="AD14" s="10">
        <f t="shared" si="1"/>
        <v>21020</v>
      </c>
      <c r="AE14" s="72">
        <f t="shared" si="2"/>
        <v>72.78782112274024</v>
      </c>
      <c r="AF14" s="72">
        <f t="shared" si="3"/>
        <v>27.212178877259753</v>
      </c>
      <c r="AH14" s="70">
        <f t="shared" si="4"/>
        <v>9829.4072399999986</v>
      </c>
      <c r="AI14" s="17">
        <f t="shared" si="5"/>
        <v>0.14266193381712625</v>
      </c>
      <c r="AJ14" s="17">
        <f t="shared" si="6"/>
        <v>3.1007593817034697E-2</v>
      </c>
      <c r="AL14" s="102">
        <f t="shared" si="7"/>
        <v>8851.6484220463317</v>
      </c>
      <c r="AM14" s="102">
        <f t="shared" si="8"/>
        <v>977.75881795366797</v>
      </c>
      <c r="AN14" s="46">
        <f t="shared" si="9"/>
        <v>9.0529977940488138</v>
      </c>
      <c r="AO14" s="68">
        <v>1</v>
      </c>
      <c r="AQ14" s="18">
        <f t="shared" si="10"/>
        <v>1239.9626054092798</v>
      </c>
      <c r="AR14" s="18">
        <f t="shared" si="11"/>
        <v>2886.6329453928038</v>
      </c>
      <c r="AU14" s="40"/>
    </row>
    <row r="15" spans="1:47">
      <c r="A15">
        <v>5</v>
      </c>
      <c r="B15" s="112">
        <v>4000</v>
      </c>
      <c r="C15" s="26">
        <v>2000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f>4000+4000</f>
        <v>8000</v>
      </c>
      <c r="K15" s="26">
        <v>0</v>
      </c>
      <c r="L15" s="26">
        <v>0</v>
      </c>
      <c r="M15" s="113">
        <v>0</v>
      </c>
      <c r="N15" s="8">
        <v>5</v>
      </c>
      <c r="O15" s="112">
        <v>800</v>
      </c>
      <c r="P15" s="26">
        <v>0</v>
      </c>
      <c r="Q15" s="26">
        <v>0</v>
      </c>
      <c r="R15" s="26">
        <v>30</v>
      </c>
      <c r="S15" s="26">
        <v>0</v>
      </c>
      <c r="T15" s="26">
        <v>0</v>
      </c>
      <c r="U15" s="59">
        <v>0</v>
      </c>
      <c r="V15" s="26">
        <v>15</v>
      </c>
      <c r="W15" s="59">
        <v>0</v>
      </c>
      <c r="X15" s="26">
        <v>0</v>
      </c>
      <c r="Y15" s="26">
        <v>0</v>
      </c>
      <c r="Z15" s="113"/>
      <c r="AB15" s="10">
        <f t="shared" si="0"/>
        <v>14000</v>
      </c>
      <c r="AC15" s="34">
        <f t="shared" si="12"/>
        <v>1370</v>
      </c>
      <c r="AD15" s="10">
        <f t="shared" si="1"/>
        <v>15370</v>
      </c>
      <c r="AE15" s="72">
        <f t="shared" si="2"/>
        <v>91.086532205595319</v>
      </c>
      <c r="AF15" s="72">
        <f t="shared" si="3"/>
        <v>8.913467794404685</v>
      </c>
      <c r="AH15" s="70">
        <f t="shared" si="4"/>
        <v>6081.6614399999999</v>
      </c>
      <c r="AI15" s="17">
        <f t="shared" si="5"/>
        <v>8.8267945428156747E-2</v>
      </c>
      <c r="AJ15" s="17">
        <f t="shared" si="6"/>
        <v>1.9185051861198739E-2</v>
      </c>
      <c r="AL15" s="102">
        <f t="shared" si="7"/>
        <v>5433.9045077606188</v>
      </c>
      <c r="AM15" s="102">
        <f t="shared" si="8"/>
        <v>647.75693223938231</v>
      </c>
      <c r="AN15" s="46">
        <f t="shared" si="9"/>
        <v>8.3888017824446646</v>
      </c>
      <c r="AO15" s="68">
        <v>1</v>
      </c>
      <c r="AQ15" s="18">
        <f t="shared" si="10"/>
        <v>545.38138514304012</v>
      </c>
      <c r="AR15" s="18">
        <f t="shared" si="11"/>
        <v>1269.6478646129976</v>
      </c>
      <c r="AU15" s="40"/>
    </row>
    <row r="16" spans="1:47">
      <c r="A16">
        <v>6</v>
      </c>
      <c r="B16" s="112">
        <v>4000</v>
      </c>
      <c r="C16" s="26">
        <v>2000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13">
        <v>0</v>
      </c>
      <c r="N16" s="8">
        <v>6</v>
      </c>
      <c r="O16" s="112">
        <v>1100</v>
      </c>
      <c r="P16" s="26">
        <v>1500</v>
      </c>
      <c r="Q16" s="26">
        <v>0</v>
      </c>
      <c r="R16" s="26">
        <v>30</v>
      </c>
      <c r="S16" s="26">
        <v>0</v>
      </c>
      <c r="T16" s="26">
        <v>0</v>
      </c>
      <c r="U16" s="26">
        <v>2000</v>
      </c>
      <c r="V16" s="26">
        <v>12</v>
      </c>
      <c r="W16" s="26">
        <v>325</v>
      </c>
      <c r="X16" s="26">
        <v>0</v>
      </c>
      <c r="Y16" s="26">
        <v>0</v>
      </c>
      <c r="Z16" s="113"/>
      <c r="AB16" s="10">
        <f t="shared" si="0"/>
        <v>6000</v>
      </c>
      <c r="AC16" s="34">
        <f t="shared" si="12"/>
        <v>5387</v>
      </c>
      <c r="AD16" s="10">
        <f t="shared" si="1"/>
        <v>11387</v>
      </c>
      <c r="AE16" s="72">
        <f t="shared" si="2"/>
        <v>52.691665934837971</v>
      </c>
      <c r="AF16" s="72">
        <f t="shared" si="3"/>
        <v>47.308334065162029</v>
      </c>
      <c r="AH16" s="70">
        <f t="shared" si="4"/>
        <v>11434.556999999999</v>
      </c>
      <c r="AI16" s="17">
        <f t="shared" si="5"/>
        <v>0.16595873730043539</v>
      </c>
      <c r="AJ16" s="17">
        <f t="shared" si="6"/>
        <v>3.6071157728706622E-2</v>
      </c>
      <c r="AL16" s="102">
        <f t="shared" si="7"/>
        <v>11050.317088189535</v>
      </c>
      <c r="AM16" s="102">
        <f t="shared" si="8"/>
        <v>384.23991181046682</v>
      </c>
      <c r="AN16" s="46">
        <f t="shared" si="9"/>
        <v>28.758899709617623</v>
      </c>
      <c r="AO16" s="68">
        <v>1</v>
      </c>
      <c r="AQ16" s="18">
        <f t="shared" si="10"/>
        <v>3028.7906996164802</v>
      </c>
      <c r="AR16" s="18">
        <f t="shared" si="11"/>
        <v>7051.0247487071665</v>
      </c>
      <c r="AU16" s="40"/>
    </row>
    <row r="17" spans="1:47">
      <c r="A17">
        <v>7</v>
      </c>
      <c r="B17" s="112">
        <v>4000</v>
      </c>
      <c r="C17" s="26">
        <v>2600</v>
      </c>
      <c r="D17" s="26">
        <v>1300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113">
        <v>0</v>
      </c>
      <c r="N17" s="8">
        <v>7</v>
      </c>
      <c r="O17" s="112">
        <v>1000</v>
      </c>
      <c r="P17" s="26">
        <v>1500</v>
      </c>
      <c r="Q17" s="26">
        <v>0</v>
      </c>
      <c r="R17" s="26">
        <v>45</v>
      </c>
      <c r="S17" s="26">
        <v>0</v>
      </c>
      <c r="T17" s="26">
        <v>0</v>
      </c>
      <c r="U17" s="26">
        <v>2000</v>
      </c>
      <c r="V17" s="26">
        <v>12</v>
      </c>
      <c r="W17" s="26">
        <v>0</v>
      </c>
      <c r="X17" s="26">
        <v>0</v>
      </c>
      <c r="Y17" s="26">
        <v>0</v>
      </c>
      <c r="Z17" s="113"/>
      <c r="AB17" s="10">
        <f t="shared" si="0"/>
        <v>7900</v>
      </c>
      <c r="AC17" s="34">
        <f t="shared" si="12"/>
        <v>4977</v>
      </c>
      <c r="AD17" s="10">
        <f t="shared" si="1"/>
        <v>12877</v>
      </c>
      <c r="AE17" s="72">
        <f t="shared" si="2"/>
        <v>61.349693251533743</v>
      </c>
      <c r="AF17" s="72">
        <f t="shared" si="3"/>
        <v>38.650306748466257</v>
      </c>
      <c r="AH17" s="70">
        <f t="shared" si="4"/>
        <v>13454.921999999999</v>
      </c>
      <c r="AI17" s="17">
        <f t="shared" si="5"/>
        <v>0.19528188679245281</v>
      </c>
      <c r="AJ17" s="17">
        <f t="shared" si="6"/>
        <v>4.2444548895899048E-2</v>
      </c>
      <c r="AL17" s="102">
        <f t="shared" si="7"/>
        <v>12977.535904618106</v>
      </c>
      <c r="AM17" s="102">
        <f t="shared" si="8"/>
        <v>477.38609538189536</v>
      </c>
      <c r="AN17" s="46">
        <f t="shared" si="9"/>
        <v>27.184570372198301</v>
      </c>
      <c r="AO17" s="68">
        <v>1</v>
      </c>
      <c r="AQ17" s="18">
        <f t="shared" si="10"/>
        <v>3248.7216218910239</v>
      </c>
      <c r="AR17" s="18">
        <f t="shared" si="11"/>
        <v>7563.0239357623032</v>
      </c>
      <c r="AU17" s="40"/>
    </row>
    <row r="18" spans="1:47">
      <c r="A18">
        <v>8</v>
      </c>
      <c r="B18" s="112">
        <v>3000</v>
      </c>
      <c r="C18" s="26">
        <v>2000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113">
        <v>0</v>
      </c>
      <c r="N18" s="8">
        <v>8</v>
      </c>
      <c r="O18" s="112">
        <f>900+4000</f>
        <v>4900</v>
      </c>
      <c r="P18" s="26">
        <v>1500</v>
      </c>
      <c r="Q18" s="26">
        <v>0</v>
      </c>
      <c r="R18" s="26">
        <v>30</v>
      </c>
      <c r="S18" s="26">
        <v>0</v>
      </c>
      <c r="T18" s="26">
        <v>0</v>
      </c>
      <c r="U18" s="26">
        <v>2000</v>
      </c>
      <c r="V18" s="26">
        <v>12</v>
      </c>
      <c r="W18" s="26">
        <v>325</v>
      </c>
      <c r="X18" s="26">
        <v>0</v>
      </c>
      <c r="Y18" s="26">
        <v>0</v>
      </c>
      <c r="Z18" s="113"/>
      <c r="AB18" s="10">
        <f t="shared" si="0"/>
        <v>5000</v>
      </c>
      <c r="AC18" s="34">
        <f t="shared" si="12"/>
        <v>9187</v>
      </c>
      <c r="AD18" s="10">
        <f t="shared" si="1"/>
        <v>14187</v>
      </c>
      <c r="AE18" s="72">
        <f t="shared" si="2"/>
        <v>35.243532811729047</v>
      </c>
      <c r="AF18" s="72">
        <f t="shared" si="3"/>
        <v>64.756467188270946</v>
      </c>
      <c r="AH18" s="70">
        <f t="shared" si="4"/>
        <v>12422.972099999999</v>
      </c>
      <c r="AI18" s="17">
        <f t="shared" si="5"/>
        <v>0.18030438461538459</v>
      </c>
      <c r="AJ18" s="17">
        <f t="shared" si="6"/>
        <v>3.918918643533123E-2</v>
      </c>
      <c r="AL18" s="102">
        <f t="shared" si="7"/>
        <v>11847.172813189534</v>
      </c>
      <c r="AM18" s="102">
        <f t="shared" si="8"/>
        <v>575.79928681046681</v>
      </c>
      <c r="AN18" s="46">
        <f t="shared" si="9"/>
        <v>20.575177990953666</v>
      </c>
      <c r="AO18" s="68">
        <v>1</v>
      </c>
      <c r="AQ18" s="18">
        <f t="shared" si="10"/>
        <v>3297.2369141198401</v>
      </c>
      <c r="AR18" s="18">
        <f t="shared" si="11"/>
        <v>7675.967536070988</v>
      </c>
      <c r="AU18" s="40"/>
    </row>
    <row r="19" spans="1:47">
      <c r="A19">
        <v>9</v>
      </c>
      <c r="B19" s="112">
        <v>4000</v>
      </c>
      <c r="C19" s="26">
        <v>2000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4000</v>
      </c>
      <c r="K19" s="26">
        <v>0</v>
      </c>
      <c r="L19" s="26">
        <v>0</v>
      </c>
      <c r="M19" s="113">
        <v>0</v>
      </c>
      <c r="N19" s="8">
        <v>9</v>
      </c>
      <c r="O19" s="112">
        <v>0</v>
      </c>
      <c r="P19" s="26">
        <v>1500</v>
      </c>
      <c r="Q19" s="26">
        <v>0</v>
      </c>
      <c r="R19" s="26">
        <v>25</v>
      </c>
      <c r="S19" s="26">
        <v>0</v>
      </c>
      <c r="T19" s="26">
        <v>0</v>
      </c>
      <c r="U19" s="26">
        <v>1000</v>
      </c>
      <c r="V19" s="59">
        <v>0</v>
      </c>
      <c r="W19" s="59">
        <v>0</v>
      </c>
      <c r="X19" s="26">
        <v>0</v>
      </c>
      <c r="Y19" s="26">
        <v>0</v>
      </c>
      <c r="Z19" s="113"/>
      <c r="AB19" s="10">
        <f t="shared" si="0"/>
        <v>10000</v>
      </c>
      <c r="AC19" s="34">
        <f t="shared" si="12"/>
        <v>2525</v>
      </c>
      <c r="AD19" s="10">
        <f t="shared" si="1"/>
        <v>12525</v>
      </c>
      <c r="AE19" s="72">
        <f t="shared" si="2"/>
        <v>79.840319361277452</v>
      </c>
      <c r="AF19" s="72">
        <f t="shared" si="3"/>
        <v>20.159680638722556</v>
      </c>
      <c r="AH19" s="70">
        <f t="shared" si="4"/>
        <v>10099.639920000001</v>
      </c>
      <c r="AI19" s="17">
        <f t="shared" si="5"/>
        <v>0.14658403367198841</v>
      </c>
      <c r="AJ19" s="17">
        <f t="shared" si="6"/>
        <v>3.1860062839116722E-2</v>
      </c>
      <c r="AL19" s="102">
        <f t="shared" si="7"/>
        <v>9661.3101170698428</v>
      </c>
      <c r="AM19" s="102">
        <f t="shared" si="8"/>
        <v>438.32980293015794</v>
      </c>
      <c r="AN19" s="46">
        <f t="shared" si="9"/>
        <v>22.041189197005721</v>
      </c>
      <c r="AO19" s="68">
        <v>1</v>
      </c>
      <c r="AQ19" s="18">
        <f t="shared" si="10"/>
        <v>2670.7602737654402</v>
      </c>
      <c r="AR19" s="18">
        <f t="shared" si="11"/>
        <v>6217.5299173259455</v>
      </c>
      <c r="AU19" s="40"/>
    </row>
    <row r="20" spans="1:47">
      <c r="A20">
        <v>10</v>
      </c>
      <c r="B20" s="112">
        <v>4000</v>
      </c>
      <c r="C20" s="26">
        <v>2000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f>800+4000</f>
        <v>4800</v>
      </c>
      <c r="K20" s="26">
        <v>0</v>
      </c>
      <c r="L20" s="26">
        <v>0</v>
      </c>
      <c r="M20" s="113">
        <v>0</v>
      </c>
      <c r="N20" s="8">
        <v>10</v>
      </c>
      <c r="O20" s="112">
        <v>0</v>
      </c>
      <c r="P20" s="126"/>
      <c r="Q20" s="26">
        <v>0</v>
      </c>
      <c r="R20" s="26">
        <v>25</v>
      </c>
      <c r="S20" s="26">
        <v>0</v>
      </c>
      <c r="T20" s="26">
        <v>0</v>
      </c>
      <c r="U20" s="26">
        <v>500</v>
      </c>
      <c r="V20" s="59">
        <v>0</v>
      </c>
      <c r="W20" s="59">
        <v>0</v>
      </c>
      <c r="X20" s="26">
        <v>0</v>
      </c>
      <c r="Y20" s="26">
        <v>0</v>
      </c>
      <c r="Z20" s="113"/>
      <c r="AB20" s="10">
        <f t="shared" si="0"/>
        <v>10800</v>
      </c>
      <c r="AC20" s="34">
        <f t="shared" si="12"/>
        <v>525</v>
      </c>
      <c r="AD20" s="10">
        <f t="shared" si="1"/>
        <v>11325</v>
      </c>
      <c r="AE20" s="72">
        <f t="shared" si="2"/>
        <v>95.36423841059603</v>
      </c>
      <c r="AF20" s="72">
        <f t="shared" si="3"/>
        <v>4.6357615894039732</v>
      </c>
      <c r="AH20" s="70">
        <f t="shared" si="4"/>
        <v>4392.7247040000011</v>
      </c>
      <c r="AI20" s="17">
        <f t="shared" si="5"/>
        <v>6.3755075529753277E-2</v>
      </c>
      <c r="AJ20" s="17">
        <f t="shared" si="6"/>
        <v>1.385717572239748E-2</v>
      </c>
      <c r="AL20" s="102">
        <f t="shared" si="7"/>
        <v>3983.9707475135142</v>
      </c>
      <c r="AM20" s="102">
        <f t="shared" si="8"/>
        <v>408.75395648648652</v>
      </c>
      <c r="AN20" s="46">
        <f t="shared" si="9"/>
        <v>9.7466230828892915</v>
      </c>
      <c r="AO20" s="68">
        <v>1</v>
      </c>
      <c r="AQ20" s="7">
        <f t="shared" si="10"/>
        <v>560.34298118544007</v>
      </c>
      <c r="AR20" s="7">
        <f t="shared" si="11"/>
        <v>1304.4784601997044</v>
      </c>
      <c r="AU20" s="40"/>
    </row>
    <row r="21" spans="1:47" s="35" customFormat="1">
      <c r="A21" s="35">
        <v>11</v>
      </c>
      <c r="B21" s="112">
        <v>4000</v>
      </c>
      <c r="C21" s="26">
        <v>2000</v>
      </c>
      <c r="D21" s="26">
        <v>1300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f>4000+2000</f>
        <v>6000</v>
      </c>
      <c r="K21" s="26">
        <v>0</v>
      </c>
      <c r="L21" s="26">
        <v>0</v>
      </c>
      <c r="M21" s="113">
        <v>0</v>
      </c>
      <c r="N21" s="53">
        <v>11</v>
      </c>
      <c r="O21" s="112">
        <f>300+4000</f>
        <v>4300</v>
      </c>
      <c r="P21" s="26">
        <v>1500</v>
      </c>
      <c r="Q21" s="26">
        <v>0</v>
      </c>
      <c r="R21" s="26">
        <v>5</v>
      </c>
      <c r="S21" s="26">
        <v>0</v>
      </c>
      <c r="T21" s="26">
        <v>0</v>
      </c>
      <c r="U21" s="59">
        <v>0</v>
      </c>
      <c r="V21" s="26">
        <v>15</v>
      </c>
      <c r="W21" s="26">
        <v>325</v>
      </c>
      <c r="X21" s="26">
        <v>0</v>
      </c>
      <c r="Y21" s="26">
        <v>0</v>
      </c>
      <c r="Z21" s="113"/>
      <c r="AB21" s="34">
        <f t="shared" si="0"/>
        <v>13300</v>
      </c>
      <c r="AC21" s="34">
        <f t="shared" si="12"/>
        <v>6670</v>
      </c>
      <c r="AD21" s="34">
        <f t="shared" si="1"/>
        <v>19970</v>
      </c>
      <c r="AE21" s="73">
        <f t="shared" si="2"/>
        <v>66.599899849774658</v>
      </c>
      <c r="AF21" s="73">
        <f t="shared" si="3"/>
        <v>33.400100150225335</v>
      </c>
      <c r="AH21" s="71">
        <f t="shared" si="4"/>
        <v>14840.00418</v>
      </c>
      <c r="AI21" s="54">
        <f t="shared" si="5"/>
        <v>0.21538467605224965</v>
      </c>
      <c r="AJ21" s="54">
        <f t="shared" si="6"/>
        <v>4.6813893312302839E-2</v>
      </c>
      <c r="AL21" s="103">
        <f t="shared" si="7"/>
        <v>13931.048660081424</v>
      </c>
      <c r="AM21" s="103">
        <f t="shared" si="8"/>
        <v>908.95551991857496</v>
      </c>
      <c r="AN21" s="46">
        <f t="shared" si="9"/>
        <v>15.326436062932299</v>
      </c>
      <c r="AO21" s="69">
        <v>1</v>
      </c>
      <c r="AQ21" s="36">
        <f t="shared" si="10"/>
        <v>3232.2211188271199</v>
      </c>
      <c r="AR21" s="36">
        <f t="shared" si="11"/>
        <v>7524.6107646295359</v>
      </c>
      <c r="AU21" s="55"/>
    </row>
    <row r="22" spans="1:47" s="35" customFormat="1">
      <c r="A22" s="35">
        <v>12</v>
      </c>
      <c r="B22" s="112">
        <v>4000</v>
      </c>
      <c r="C22" s="26">
        <v>2000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>4000+4000</f>
        <v>8000</v>
      </c>
      <c r="K22" s="26">
        <v>0</v>
      </c>
      <c r="L22" s="26">
        <v>0</v>
      </c>
      <c r="M22" s="113">
        <v>0</v>
      </c>
      <c r="N22" s="53">
        <v>12</v>
      </c>
      <c r="O22" s="112">
        <v>1000</v>
      </c>
      <c r="P22" s="26">
        <v>1500</v>
      </c>
      <c r="Q22" s="26">
        <v>0</v>
      </c>
      <c r="R22" s="26">
        <v>30</v>
      </c>
      <c r="S22" s="26">
        <v>0</v>
      </c>
      <c r="T22" s="26">
        <v>0</v>
      </c>
      <c r="U22" s="59">
        <v>0</v>
      </c>
      <c r="V22" s="26">
        <v>15</v>
      </c>
      <c r="W22" s="26">
        <v>325</v>
      </c>
      <c r="X22" s="26">
        <v>0</v>
      </c>
      <c r="Y22" s="26">
        <v>0</v>
      </c>
      <c r="Z22" s="113"/>
      <c r="AB22" s="34">
        <f t="shared" si="0"/>
        <v>14000</v>
      </c>
      <c r="AC22" s="34">
        <f t="shared" si="12"/>
        <v>3395</v>
      </c>
      <c r="AD22" s="34">
        <f t="shared" si="1"/>
        <v>17395</v>
      </c>
      <c r="AE22" s="73">
        <f t="shared" si="2"/>
        <v>80.482897384305829</v>
      </c>
      <c r="AF22" s="73">
        <f t="shared" si="3"/>
        <v>19.517102615694164</v>
      </c>
      <c r="AH22" s="71">
        <f t="shared" si="4"/>
        <v>11934.923640000001</v>
      </c>
      <c r="AI22" s="54">
        <f t="shared" si="5"/>
        <v>0.17322095268505081</v>
      </c>
      <c r="AJ22" s="54">
        <f t="shared" si="6"/>
        <v>3.764960138801262E-2</v>
      </c>
      <c r="AL22" s="103">
        <f t="shared" si="7"/>
        <v>11210.97760309301</v>
      </c>
      <c r="AM22" s="103">
        <f t="shared" si="8"/>
        <v>723.94603690699205</v>
      </c>
      <c r="AN22" s="46">
        <f t="shared" si="9"/>
        <v>15.485929933384419</v>
      </c>
      <c r="AO22" s="69">
        <v>1</v>
      </c>
      <c r="AQ22" s="36">
        <f t="shared" si="10"/>
        <v>2667.4615350172799</v>
      </c>
      <c r="AR22" s="36">
        <f t="shared" si="11"/>
        <v>6209.8504535202273</v>
      </c>
      <c r="AU22" s="55"/>
    </row>
    <row r="23" spans="1:47" s="35" customFormat="1">
      <c r="A23" s="35">
        <v>13</v>
      </c>
      <c r="B23" s="112">
        <v>4000</v>
      </c>
      <c r="C23" s="26">
        <v>2000</v>
      </c>
      <c r="D23" s="26">
        <v>1200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113">
        <v>0</v>
      </c>
      <c r="N23" s="53">
        <v>13</v>
      </c>
      <c r="O23" s="127"/>
      <c r="P23" s="26">
        <v>900</v>
      </c>
      <c r="Q23" s="26">
        <v>0</v>
      </c>
      <c r="R23" s="26">
        <v>30</v>
      </c>
      <c r="S23" s="26">
        <v>0</v>
      </c>
      <c r="T23" s="26">
        <v>0</v>
      </c>
      <c r="U23" s="26">
        <v>2000</v>
      </c>
      <c r="V23" s="26">
        <v>12</v>
      </c>
      <c r="W23" s="26">
        <v>0</v>
      </c>
      <c r="X23" s="26">
        <v>0</v>
      </c>
      <c r="Y23" s="26">
        <v>0</v>
      </c>
      <c r="Z23" s="113"/>
      <c r="AB23" s="34">
        <f t="shared" si="0"/>
        <v>7200</v>
      </c>
      <c r="AC23" s="34">
        <f t="shared" si="12"/>
        <v>3362</v>
      </c>
      <c r="AD23" s="34">
        <f t="shared" si="1"/>
        <v>10562</v>
      </c>
      <c r="AE23" s="73">
        <f t="shared" si="2"/>
        <v>68.168907403900775</v>
      </c>
      <c r="AF23" s="73">
        <f t="shared" si="3"/>
        <v>31.831092596099225</v>
      </c>
      <c r="AH23" s="71">
        <f t="shared" si="4"/>
        <v>10348.605599999999</v>
      </c>
      <c r="AI23" s="54">
        <f t="shared" si="5"/>
        <v>0.15019746879535556</v>
      </c>
      <c r="AJ23" s="54">
        <f t="shared" si="6"/>
        <v>3.2645443533123028E-2</v>
      </c>
      <c r="AL23" s="103">
        <f t="shared" si="7"/>
        <v>9974.19387291372</v>
      </c>
      <c r="AM23" s="103">
        <f t="shared" si="8"/>
        <v>374.41172708628011</v>
      </c>
      <c r="AN23" s="46">
        <f t="shared" si="9"/>
        <v>26.63964067187257</v>
      </c>
      <c r="AO23" s="69">
        <v>1</v>
      </c>
      <c r="AQ23" s="36">
        <f t="shared" si="10"/>
        <v>2280.9340919760002</v>
      </c>
      <c r="AR23" s="36">
        <f t="shared" si="11"/>
        <v>5310.0145661201286</v>
      </c>
      <c r="AU23" s="55"/>
    </row>
    <row r="24" spans="1:47" s="35" customFormat="1">
      <c r="A24" s="35">
        <v>14</v>
      </c>
      <c r="B24" s="112">
        <v>4000</v>
      </c>
      <c r="C24" s="26">
        <v>2000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2000</v>
      </c>
      <c r="K24" s="26">
        <v>0</v>
      </c>
      <c r="L24" s="26">
        <v>0</v>
      </c>
      <c r="M24" s="113">
        <v>0</v>
      </c>
      <c r="N24" s="53">
        <v>14</v>
      </c>
      <c r="O24" s="112">
        <v>800</v>
      </c>
      <c r="P24" s="26">
        <v>800</v>
      </c>
      <c r="Q24" s="26">
        <v>0</v>
      </c>
      <c r="R24" s="26">
        <v>30</v>
      </c>
      <c r="S24" s="26">
        <v>0</v>
      </c>
      <c r="T24" s="26">
        <v>0</v>
      </c>
      <c r="U24" s="26">
        <v>1500</v>
      </c>
      <c r="V24" s="26">
        <v>23</v>
      </c>
      <c r="W24" s="26">
        <f>325*2</f>
        <v>650</v>
      </c>
      <c r="X24" s="26">
        <v>0</v>
      </c>
      <c r="Y24" s="26">
        <v>0</v>
      </c>
      <c r="Z24" s="113"/>
      <c r="AB24" s="34">
        <f t="shared" si="0"/>
        <v>8000</v>
      </c>
      <c r="AC24" s="34">
        <f t="shared" si="12"/>
        <v>4608</v>
      </c>
      <c r="AD24" s="34">
        <f t="shared" si="1"/>
        <v>12608</v>
      </c>
      <c r="AE24" s="73">
        <f t="shared" si="2"/>
        <v>63.451776649746193</v>
      </c>
      <c r="AF24" s="73">
        <f t="shared" si="3"/>
        <v>36.548223350253807</v>
      </c>
      <c r="AH24" s="71">
        <f t="shared" si="4"/>
        <v>9778.4331600000005</v>
      </c>
      <c r="AI24" s="54">
        <f t="shared" si="5"/>
        <v>0.1419221068214804</v>
      </c>
      <c r="AJ24" s="54">
        <f t="shared" si="6"/>
        <v>3.084679230283912E-2</v>
      </c>
      <c r="AL24" s="103">
        <f t="shared" si="7"/>
        <v>9306.5383848079073</v>
      </c>
      <c r="AM24" s="103">
        <f t="shared" si="8"/>
        <v>471.89477519209458</v>
      </c>
      <c r="AN24" s="46">
        <f t="shared" si="9"/>
        <v>19.721638962879993</v>
      </c>
      <c r="AO24" s="69">
        <v>1</v>
      </c>
      <c r="AQ24" s="36">
        <f t="shared" si="10"/>
        <v>2051.0021655403202</v>
      </c>
      <c r="AR24" s="36">
        <f t="shared" si="11"/>
        <v>4774.7330413778654</v>
      </c>
      <c r="AU24" s="55"/>
    </row>
    <row r="25" spans="1:47" s="35" customFormat="1">
      <c r="A25" s="35">
        <v>15</v>
      </c>
      <c r="B25" s="112">
        <v>4000</v>
      </c>
      <c r="C25" s="26">
        <v>2000</v>
      </c>
      <c r="D25" s="26">
        <v>1300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13">
        <v>0</v>
      </c>
      <c r="N25" s="53">
        <v>15</v>
      </c>
      <c r="O25" s="112">
        <f>1000+4000</f>
        <v>5000</v>
      </c>
      <c r="P25" s="26">
        <v>0</v>
      </c>
      <c r="Q25" s="26">
        <v>0</v>
      </c>
      <c r="R25" s="26">
        <v>30</v>
      </c>
      <c r="S25" s="26">
        <v>0</v>
      </c>
      <c r="T25" s="26">
        <v>0</v>
      </c>
      <c r="U25" s="26">
        <v>1500</v>
      </c>
      <c r="V25" s="59">
        <v>0</v>
      </c>
      <c r="W25" s="59">
        <v>0</v>
      </c>
      <c r="X25" s="26">
        <v>0</v>
      </c>
      <c r="Y25" s="26">
        <v>0</v>
      </c>
      <c r="Z25" s="113"/>
      <c r="AB25" s="34">
        <f t="shared" si="0"/>
        <v>7300</v>
      </c>
      <c r="AC25" s="34">
        <f t="shared" si="12"/>
        <v>6530</v>
      </c>
      <c r="AD25" s="34">
        <f t="shared" si="1"/>
        <v>13830</v>
      </c>
      <c r="AE25" s="73">
        <f t="shared" si="2"/>
        <v>52.783803326102678</v>
      </c>
      <c r="AF25" s="73">
        <f t="shared" si="3"/>
        <v>47.216196673897322</v>
      </c>
      <c r="AH25" s="71">
        <f t="shared" si="4"/>
        <v>8034.6309000000001</v>
      </c>
      <c r="AI25" s="54">
        <f t="shared" si="5"/>
        <v>0.11661293033381713</v>
      </c>
      <c r="AJ25" s="54">
        <f t="shared" si="6"/>
        <v>2.534583880126183E-2</v>
      </c>
      <c r="AL25" s="103">
        <f t="shared" si="7"/>
        <v>7452.4621642857137</v>
      </c>
      <c r="AM25" s="103">
        <f t="shared" si="8"/>
        <v>582.16873571428573</v>
      </c>
      <c r="AN25" s="46">
        <f t="shared" si="9"/>
        <v>12.801206432258844</v>
      </c>
      <c r="AO25" s="69">
        <v>1</v>
      </c>
      <c r="AQ25" s="36">
        <f t="shared" si="10"/>
        <v>1456.5085375096801</v>
      </c>
      <c r="AR25" s="36">
        <f t="shared" si="11"/>
        <v>3390.7518753225349</v>
      </c>
      <c r="AU25" s="55"/>
    </row>
    <row r="26" spans="1:47" s="35" customFormat="1">
      <c r="A26" s="35">
        <v>16</v>
      </c>
      <c r="B26" s="112">
        <v>4000</v>
      </c>
      <c r="C26" s="26">
        <v>2000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f>3*2000</f>
        <v>6000</v>
      </c>
      <c r="K26" s="26">
        <v>0</v>
      </c>
      <c r="L26" s="26">
        <v>0</v>
      </c>
      <c r="M26" s="113">
        <v>0</v>
      </c>
      <c r="N26" s="53">
        <v>16</v>
      </c>
      <c r="O26" s="112">
        <v>0</v>
      </c>
      <c r="P26" s="26">
        <v>2000</v>
      </c>
      <c r="Q26" s="26">
        <v>0</v>
      </c>
      <c r="R26" s="26">
        <v>30</v>
      </c>
      <c r="S26" s="26">
        <v>0</v>
      </c>
      <c r="T26" s="26">
        <v>0</v>
      </c>
      <c r="U26" s="26">
        <v>2000</v>
      </c>
      <c r="V26" s="59">
        <v>0</v>
      </c>
      <c r="W26" s="59">
        <v>0</v>
      </c>
      <c r="X26" s="26">
        <v>0</v>
      </c>
      <c r="Y26" s="26">
        <v>0</v>
      </c>
      <c r="Z26" s="113"/>
      <c r="AB26" s="34">
        <f t="shared" si="0"/>
        <v>12000</v>
      </c>
      <c r="AC26" s="34">
        <f t="shared" si="12"/>
        <v>4030</v>
      </c>
      <c r="AD26" s="34">
        <f t="shared" si="1"/>
        <v>16030</v>
      </c>
      <c r="AE26" s="73">
        <f t="shared" si="2"/>
        <v>74.859638178415466</v>
      </c>
      <c r="AF26" s="73">
        <f t="shared" si="3"/>
        <v>25.140361821584531</v>
      </c>
      <c r="AH26" s="71">
        <f t="shared" si="4"/>
        <v>12870.971879999999</v>
      </c>
      <c r="AI26" s="54">
        <f t="shared" si="5"/>
        <v>0.18680655849056602</v>
      </c>
      <c r="AJ26" s="54">
        <f t="shared" si="6"/>
        <v>4.0602434952681385E-2</v>
      </c>
      <c r="AL26" s="103">
        <f t="shared" si="7"/>
        <v>12290.815158525556</v>
      </c>
      <c r="AM26" s="103">
        <f t="shared" si="8"/>
        <v>580.15672147444491</v>
      </c>
      <c r="AN26" s="46">
        <f t="shared" si="9"/>
        <v>21.185336140360391</v>
      </c>
      <c r="AO26" s="69">
        <v>1</v>
      </c>
      <c r="AQ26" s="36">
        <f t="shared" si="10"/>
        <v>3520.9799224454405</v>
      </c>
      <c r="AR26" s="36">
        <f t="shared" si="11"/>
        <v>8196.8412594529855</v>
      </c>
      <c r="AU26" s="55"/>
    </row>
    <row r="27" spans="1:47" s="35" customFormat="1">
      <c r="A27" s="35">
        <v>17</v>
      </c>
      <c r="B27" s="112">
        <v>4000</v>
      </c>
      <c r="C27" s="26">
        <v>4000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2000</v>
      </c>
      <c r="K27" s="26">
        <v>0</v>
      </c>
      <c r="L27" s="26">
        <v>0</v>
      </c>
      <c r="M27" s="113">
        <v>0</v>
      </c>
      <c r="N27" s="53">
        <v>17</v>
      </c>
      <c r="O27" s="112">
        <v>0</v>
      </c>
      <c r="P27" s="26">
        <v>1000</v>
      </c>
      <c r="Q27" s="26">
        <v>0</v>
      </c>
      <c r="R27" s="26">
        <v>25</v>
      </c>
      <c r="S27" s="26">
        <v>0</v>
      </c>
      <c r="T27" s="26">
        <v>0</v>
      </c>
      <c r="U27" s="26">
        <v>1000</v>
      </c>
      <c r="V27" s="59">
        <v>0</v>
      </c>
      <c r="W27" s="26">
        <v>325</v>
      </c>
      <c r="X27" s="26">
        <v>0</v>
      </c>
      <c r="Y27" s="26">
        <v>0</v>
      </c>
      <c r="Z27" s="113"/>
      <c r="AB27" s="34">
        <f t="shared" si="0"/>
        <v>10000</v>
      </c>
      <c r="AC27" s="34">
        <f t="shared" si="12"/>
        <v>2350</v>
      </c>
      <c r="AD27" s="34">
        <f t="shared" si="1"/>
        <v>12350</v>
      </c>
      <c r="AE27" s="73">
        <f t="shared" si="2"/>
        <v>80.97165991902834</v>
      </c>
      <c r="AF27" s="73">
        <f t="shared" si="3"/>
        <v>19.02834008097166</v>
      </c>
      <c r="AH27" s="71">
        <f t="shared" si="4"/>
        <v>9167.0277600000009</v>
      </c>
      <c r="AI27" s="54">
        <f t="shared" si="5"/>
        <v>0.13304829840348331</v>
      </c>
      <c r="AJ27" s="54">
        <f t="shared" si="6"/>
        <v>2.8918068643533124E-2</v>
      </c>
      <c r="AL27" s="103">
        <f t="shared" si="7"/>
        <v>8780.3843684712738</v>
      </c>
      <c r="AM27" s="103">
        <f t="shared" si="8"/>
        <v>386.64339152872822</v>
      </c>
      <c r="AN27" s="46">
        <f t="shared" si="9"/>
        <v>22.709257576484088</v>
      </c>
      <c r="AO27" s="69">
        <v>1</v>
      </c>
      <c r="AQ27" s="36">
        <f t="shared" si="10"/>
        <v>2235.5083409577601</v>
      </c>
      <c r="AR27" s="36">
        <f t="shared" si="11"/>
        <v>5204.2634177496657</v>
      </c>
      <c r="AU27" s="55"/>
    </row>
    <row r="28" spans="1:47">
      <c r="A28">
        <v>18</v>
      </c>
      <c r="B28" s="112">
        <v>4000</v>
      </c>
      <c r="C28" s="26">
        <v>2000</v>
      </c>
      <c r="D28" s="26">
        <v>1250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2000</v>
      </c>
      <c r="K28" s="26">
        <v>0</v>
      </c>
      <c r="L28" s="26">
        <v>0</v>
      </c>
      <c r="M28" s="113">
        <v>0</v>
      </c>
      <c r="N28" s="8">
        <v>18</v>
      </c>
      <c r="O28" s="112">
        <f>850+4000</f>
        <v>4850</v>
      </c>
      <c r="P28" s="26">
        <v>1000</v>
      </c>
      <c r="Q28" s="26">
        <v>0</v>
      </c>
      <c r="R28" s="26">
        <v>0</v>
      </c>
      <c r="S28" s="26">
        <v>0</v>
      </c>
      <c r="T28" s="26">
        <v>0</v>
      </c>
      <c r="U28" s="59">
        <v>0</v>
      </c>
      <c r="V28" s="26">
        <v>12</v>
      </c>
      <c r="W28" s="26">
        <v>325</v>
      </c>
      <c r="X28" s="26">
        <v>0</v>
      </c>
      <c r="Y28" s="26">
        <v>0</v>
      </c>
      <c r="Z28" s="113"/>
      <c r="AB28" s="10">
        <f t="shared" si="0"/>
        <v>9250</v>
      </c>
      <c r="AC28" s="34">
        <f t="shared" si="12"/>
        <v>6607</v>
      </c>
      <c r="AD28" s="10">
        <f t="shared" si="1"/>
        <v>15857</v>
      </c>
      <c r="AE28" s="72">
        <f t="shared" si="2"/>
        <v>58.333858863593363</v>
      </c>
      <c r="AF28" s="72">
        <f t="shared" si="3"/>
        <v>41.666141136406637</v>
      </c>
      <c r="AH28" s="70">
        <f t="shared" si="4"/>
        <v>12197.512709999999</v>
      </c>
      <c r="AI28" s="17">
        <f t="shared" si="5"/>
        <v>0.17703211480406383</v>
      </c>
      <c r="AJ28" s="17">
        <f t="shared" si="6"/>
        <v>3.8477958075709778E-2</v>
      </c>
      <c r="AL28" s="102">
        <f t="shared" si="7"/>
        <v>11483.077532756988</v>
      </c>
      <c r="AM28" s="102">
        <f t="shared" si="8"/>
        <v>714.43517724301398</v>
      </c>
      <c r="AN28" s="46">
        <f t="shared" si="9"/>
        <v>16.072945311945407</v>
      </c>
      <c r="AO28" s="68">
        <v>1</v>
      </c>
      <c r="AQ28" s="7">
        <f t="shared" si="10"/>
        <v>2598.2192307034802</v>
      </c>
      <c r="AR28" s="7">
        <f t="shared" si="11"/>
        <v>6048.6543690777025</v>
      </c>
      <c r="AU28" s="40"/>
    </row>
    <row r="29" spans="1:47">
      <c r="A29">
        <v>19</v>
      </c>
      <c r="B29" s="112">
        <v>4000</v>
      </c>
      <c r="C29" s="26">
        <v>2000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2000</v>
      </c>
      <c r="K29" s="26">
        <v>0</v>
      </c>
      <c r="L29" s="26">
        <v>0</v>
      </c>
      <c r="M29" s="113">
        <v>0</v>
      </c>
      <c r="N29" s="8">
        <v>19</v>
      </c>
      <c r="O29" s="112">
        <v>1000</v>
      </c>
      <c r="P29" s="26">
        <v>1250</v>
      </c>
      <c r="Q29" s="26">
        <v>0</v>
      </c>
      <c r="R29" s="26">
        <v>30</v>
      </c>
      <c r="S29" s="26">
        <v>0</v>
      </c>
      <c r="T29" s="26">
        <v>0</v>
      </c>
      <c r="U29" s="26">
        <v>2000</v>
      </c>
      <c r="V29" s="26">
        <v>12</v>
      </c>
      <c r="W29" s="26">
        <v>0</v>
      </c>
      <c r="X29" s="26">
        <v>0</v>
      </c>
      <c r="Y29" s="26">
        <v>0</v>
      </c>
      <c r="Z29" s="113"/>
      <c r="AB29" s="10">
        <f t="shared" si="0"/>
        <v>8000</v>
      </c>
      <c r="AC29" s="34">
        <f t="shared" si="12"/>
        <v>4712</v>
      </c>
      <c r="AD29" s="10">
        <f t="shared" si="1"/>
        <v>12712</v>
      </c>
      <c r="AE29" s="72">
        <f t="shared" si="2"/>
        <v>62.93266205160478</v>
      </c>
      <c r="AF29" s="72">
        <f t="shared" si="3"/>
        <v>37.06733794839522</v>
      </c>
      <c r="AH29" s="70">
        <f t="shared" si="4"/>
        <v>10624.901459999999</v>
      </c>
      <c r="AI29" s="17">
        <f t="shared" si="5"/>
        <v>0.15420756835994193</v>
      </c>
      <c r="AJ29" s="17">
        <f t="shared" si="6"/>
        <v>3.3517039305993687E-2</v>
      </c>
      <c r="AL29" s="102">
        <f t="shared" si="7"/>
        <v>10168.08901055048</v>
      </c>
      <c r="AM29" s="102">
        <f t="shared" si="8"/>
        <v>456.81244944952033</v>
      </c>
      <c r="AN29" s="46">
        <f t="shared" si="9"/>
        <v>22.258782620314943</v>
      </c>
      <c r="AO29" s="68">
        <v>1</v>
      </c>
      <c r="AQ29" s="7">
        <f t="shared" si="10"/>
        <v>2601.1538598134402</v>
      </c>
      <c r="AR29" s="7">
        <f t="shared" si="11"/>
        <v>6055.4861856456882</v>
      </c>
      <c r="AU29" s="40"/>
    </row>
    <row r="30" spans="1:47">
      <c r="A30">
        <v>20</v>
      </c>
      <c r="B30" s="112">
        <v>4000</v>
      </c>
      <c r="C30" s="26">
        <v>2000</v>
      </c>
      <c r="D30" s="26">
        <v>1200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4000</v>
      </c>
      <c r="K30" s="26">
        <v>0</v>
      </c>
      <c r="L30" s="26">
        <v>0</v>
      </c>
      <c r="M30" s="113">
        <v>0</v>
      </c>
      <c r="N30" s="8">
        <v>20</v>
      </c>
      <c r="O30" s="112">
        <v>1000</v>
      </c>
      <c r="P30" s="26">
        <v>1000</v>
      </c>
      <c r="Q30" s="26">
        <v>0</v>
      </c>
      <c r="R30" s="26">
        <v>0</v>
      </c>
      <c r="S30" s="26">
        <v>0</v>
      </c>
      <c r="T30" s="26">
        <v>0</v>
      </c>
      <c r="U30" s="26">
        <v>2000</v>
      </c>
      <c r="V30" s="26">
        <v>10</v>
      </c>
      <c r="W30" s="26">
        <f>325*2</f>
        <v>650</v>
      </c>
      <c r="X30" s="26">
        <v>0</v>
      </c>
      <c r="Y30" s="26">
        <v>0</v>
      </c>
      <c r="Z30" s="113"/>
      <c r="AB30" s="10">
        <f t="shared" si="0"/>
        <v>11200</v>
      </c>
      <c r="AC30" s="34">
        <f t="shared" si="12"/>
        <v>5010</v>
      </c>
      <c r="AD30" s="10">
        <f t="shared" si="1"/>
        <v>16210</v>
      </c>
      <c r="AE30" s="72">
        <f t="shared" si="2"/>
        <v>69.093152375077111</v>
      </c>
      <c r="AF30" s="72">
        <f t="shared" si="3"/>
        <v>30.906847624922886</v>
      </c>
      <c r="AH30" s="70">
        <f t="shared" si="4"/>
        <v>12097.32012</v>
      </c>
      <c r="AI30" s="17">
        <f t="shared" si="5"/>
        <v>0.17557794078374456</v>
      </c>
      <c r="AJ30" s="17">
        <f t="shared" si="6"/>
        <v>3.8161893123028395E-2</v>
      </c>
      <c r="AL30" s="102">
        <f t="shared" si="7"/>
        <v>11455.428532911426</v>
      </c>
      <c r="AM30" s="102">
        <f t="shared" si="8"/>
        <v>641.89158708857383</v>
      </c>
      <c r="AN30" s="46">
        <f t="shared" si="9"/>
        <v>17.846360294064279</v>
      </c>
      <c r="AO30" s="68">
        <v>1</v>
      </c>
      <c r="AQ30" s="7">
        <f t="shared" si="10"/>
        <v>2669.9961163948806</v>
      </c>
      <c r="AR30" s="7">
        <f t="shared" si="11"/>
        <v>6215.7509589672818</v>
      </c>
    </row>
    <row r="31" spans="1:47">
      <c r="A31">
        <v>21</v>
      </c>
      <c r="B31" s="112">
        <v>4000</v>
      </c>
      <c r="C31" s="26">
        <v>2000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f>4000+2000</f>
        <v>6000</v>
      </c>
      <c r="K31" s="26">
        <v>0</v>
      </c>
      <c r="L31" s="26">
        <v>0</v>
      </c>
      <c r="M31" s="113">
        <v>0</v>
      </c>
      <c r="N31" s="8">
        <v>21</v>
      </c>
      <c r="O31" s="112">
        <v>1000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2000</v>
      </c>
      <c r="V31" s="26">
        <v>20</v>
      </c>
      <c r="W31" s="26">
        <v>0</v>
      </c>
      <c r="X31" s="26">
        <v>0</v>
      </c>
      <c r="Y31" s="26">
        <v>0</v>
      </c>
      <c r="Z31" s="113"/>
      <c r="AB31" s="10">
        <f t="shared" si="0"/>
        <v>12000</v>
      </c>
      <c r="AC31" s="34">
        <f t="shared" si="12"/>
        <v>3720</v>
      </c>
      <c r="AD31" s="10">
        <f t="shared" si="1"/>
        <v>15720</v>
      </c>
      <c r="AE31" s="72">
        <f t="shared" si="2"/>
        <v>76.335877862595424</v>
      </c>
      <c r="AF31" s="72">
        <f t="shared" si="3"/>
        <v>23.664122137404579</v>
      </c>
      <c r="AH31" s="70">
        <f t="shared" si="4"/>
        <v>7268.9938800000018</v>
      </c>
      <c r="AI31" s="17">
        <f t="shared" si="5"/>
        <v>0.1055006368650218</v>
      </c>
      <c r="AJ31" s="17">
        <f t="shared" si="6"/>
        <v>2.2930580063091489E-2</v>
      </c>
      <c r="AL31" s="102">
        <f t="shared" si="7"/>
        <v>6636.9533933204639</v>
      </c>
      <c r="AM31" s="102">
        <f t="shared" si="8"/>
        <v>632.0404866795368</v>
      </c>
      <c r="AN31" s="46">
        <f t="shared" si="9"/>
        <v>10.500835837571266</v>
      </c>
      <c r="AO31" s="68">
        <v>1</v>
      </c>
      <c r="AQ31" s="7">
        <f t="shared" si="10"/>
        <v>915.84639157344009</v>
      </c>
      <c r="AR31" s="7">
        <f t="shared" si="11"/>
        <v>2132.0903995829685</v>
      </c>
    </row>
    <row r="32" spans="1:47">
      <c r="A32">
        <v>22</v>
      </c>
      <c r="B32" s="112">
        <v>4000</v>
      </c>
      <c r="C32" s="26">
        <v>2000</v>
      </c>
      <c r="D32" s="26">
        <v>1200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113">
        <v>0</v>
      </c>
      <c r="N32" s="8">
        <v>22</v>
      </c>
      <c r="O32" s="112">
        <f>1000+4000</f>
        <v>5000</v>
      </c>
      <c r="P32" s="26">
        <v>2000</v>
      </c>
      <c r="Q32" s="26">
        <v>0</v>
      </c>
      <c r="R32" s="26">
        <v>30</v>
      </c>
      <c r="S32" s="26">
        <v>0</v>
      </c>
      <c r="T32" s="26">
        <v>0</v>
      </c>
      <c r="U32" s="26">
        <v>2000</v>
      </c>
      <c r="V32" s="59">
        <v>0</v>
      </c>
      <c r="W32" s="59">
        <v>0</v>
      </c>
      <c r="X32" s="26">
        <v>0</v>
      </c>
      <c r="Y32" s="26">
        <v>0</v>
      </c>
      <c r="Z32" s="113"/>
      <c r="AB32" s="10">
        <f t="shared" si="0"/>
        <v>7200</v>
      </c>
      <c r="AC32" s="34">
        <f t="shared" si="12"/>
        <v>9030</v>
      </c>
      <c r="AD32" s="10">
        <f t="shared" si="1"/>
        <v>16230</v>
      </c>
      <c r="AE32" s="72">
        <f t="shared" si="2"/>
        <v>44.362292051756008</v>
      </c>
      <c r="AF32" s="72">
        <f t="shared" si="3"/>
        <v>55.637707948243992</v>
      </c>
      <c r="AH32" s="70">
        <f t="shared" si="4"/>
        <v>15594.0486</v>
      </c>
      <c r="AI32" s="17">
        <f t="shared" si="5"/>
        <v>0.22632871698113208</v>
      </c>
      <c r="AJ32" s="17">
        <f t="shared" si="6"/>
        <v>4.9192582334384859E-2</v>
      </c>
      <c r="AL32" s="102">
        <f t="shared" si="7"/>
        <v>14932.188215205091</v>
      </c>
      <c r="AM32" s="102">
        <f t="shared" si="8"/>
        <v>661.8603847949081</v>
      </c>
      <c r="AN32" s="46">
        <f t="shared" si="9"/>
        <v>22.560933632297932</v>
      </c>
      <c r="AO32" s="68">
        <v>1</v>
      </c>
      <c r="AQ32" s="7">
        <f t="shared" si="10"/>
        <v>4220.7967555872001</v>
      </c>
      <c r="AR32" s="7">
        <f t="shared" si="11"/>
        <v>9826.0148470069998</v>
      </c>
    </row>
    <row r="33" spans="1:45">
      <c r="A33">
        <v>23</v>
      </c>
      <c r="B33" s="112">
        <v>4000</v>
      </c>
      <c r="C33" s="26">
        <v>2000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3000</v>
      </c>
      <c r="K33" s="26">
        <v>0</v>
      </c>
      <c r="L33" s="26">
        <v>0</v>
      </c>
      <c r="M33" s="113">
        <v>0</v>
      </c>
      <c r="N33" s="8">
        <v>23</v>
      </c>
      <c r="O33" s="112">
        <v>0</v>
      </c>
      <c r="P33" s="26">
        <v>2000</v>
      </c>
      <c r="Q33" s="26">
        <v>0</v>
      </c>
      <c r="R33" s="26">
        <v>30</v>
      </c>
      <c r="S33" s="26">
        <v>0</v>
      </c>
      <c r="T33" s="26">
        <v>0</v>
      </c>
      <c r="U33" s="26">
        <v>1000</v>
      </c>
      <c r="V33" s="59">
        <v>0</v>
      </c>
      <c r="W33" s="59">
        <v>0</v>
      </c>
      <c r="X33" s="26">
        <v>0</v>
      </c>
      <c r="Y33" s="26">
        <v>0</v>
      </c>
      <c r="Z33" s="113"/>
      <c r="AB33" s="10">
        <f t="shared" si="0"/>
        <v>9000</v>
      </c>
      <c r="AC33" s="34">
        <f t="shared" si="12"/>
        <v>3030</v>
      </c>
      <c r="AD33" s="10">
        <f t="shared" si="1"/>
        <v>12030</v>
      </c>
      <c r="AE33" s="72">
        <f t="shared" si="2"/>
        <v>74.812967581047388</v>
      </c>
      <c r="AF33" s="72">
        <f t="shared" si="3"/>
        <v>25.187032418952619</v>
      </c>
      <c r="AH33" s="70">
        <f t="shared" si="4"/>
        <v>11777.881440000001</v>
      </c>
      <c r="AI33" s="17">
        <f t="shared" si="5"/>
        <v>0.17094167547169814</v>
      </c>
      <c r="AJ33" s="17">
        <f t="shared" si="6"/>
        <v>3.7154200126182965E-2</v>
      </c>
      <c r="AL33" s="102">
        <f t="shared" si="7"/>
        <v>11369.66997257961</v>
      </c>
      <c r="AM33" s="102">
        <f t="shared" si="8"/>
        <v>408.21146742039076</v>
      </c>
      <c r="AN33" s="46">
        <f t="shared" si="9"/>
        <v>27.852402198370182</v>
      </c>
      <c r="AO33" s="68">
        <v>1</v>
      </c>
      <c r="AQ33" s="7">
        <f t="shared" si="10"/>
        <v>3344.8832610614404</v>
      </c>
      <c r="AR33" s="7">
        <f t="shared" si="11"/>
        <v>7786.8882317510333</v>
      </c>
    </row>
    <row r="34" spans="1:45">
      <c r="A34">
        <v>24</v>
      </c>
      <c r="B34" s="112">
        <v>4000</v>
      </c>
      <c r="C34" s="26">
        <v>2000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4000</v>
      </c>
      <c r="K34" s="26">
        <v>0</v>
      </c>
      <c r="L34" s="26">
        <v>0</v>
      </c>
      <c r="M34" s="113">
        <v>0</v>
      </c>
      <c r="N34" s="8">
        <v>24</v>
      </c>
      <c r="O34" s="112">
        <v>0</v>
      </c>
      <c r="P34" s="26">
        <v>1000</v>
      </c>
      <c r="Q34" s="26">
        <v>0</v>
      </c>
      <c r="R34" s="26">
        <v>15</v>
      </c>
      <c r="S34" s="26">
        <v>0</v>
      </c>
      <c r="T34" s="26">
        <v>0</v>
      </c>
      <c r="U34" s="26">
        <v>600</v>
      </c>
      <c r="V34" s="59">
        <v>0</v>
      </c>
      <c r="W34" s="59">
        <v>0</v>
      </c>
      <c r="X34" s="26">
        <v>0</v>
      </c>
      <c r="Y34" s="26">
        <v>0</v>
      </c>
      <c r="Z34" s="113"/>
      <c r="AB34" s="10">
        <f t="shared" si="0"/>
        <v>10000</v>
      </c>
      <c r="AC34" s="34">
        <f t="shared" si="12"/>
        <v>1615</v>
      </c>
      <c r="AD34" s="10">
        <f t="shared" si="1"/>
        <v>11615</v>
      </c>
      <c r="AE34" s="72">
        <f t="shared" si="2"/>
        <v>86.095566078346963</v>
      </c>
      <c r="AF34" s="72">
        <f t="shared" si="3"/>
        <v>13.904433921653036</v>
      </c>
      <c r="AH34" s="70">
        <f t="shared" si="4"/>
        <v>8020.0609199999999</v>
      </c>
      <c r="AI34" s="17">
        <f t="shared" si="5"/>
        <v>0.11640146473149492</v>
      </c>
      <c r="AJ34" s="17">
        <f t="shared" si="6"/>
        <v>2.52998767192429E-2</v>
      </c>
      <c r="AL34" s="102">
        <f t="shared" si="7"/>
        <v>7610.6885329114266</v>
      </c>
      <c r="AM34" s="102">
        <f t="shared" si="8"/>
        <v>409.37238708857376</v>
      </c>
      <c r="AN34" s="46">
        <f t="shared" si="9"/>
        <v>18.591113550765069</v>
      </c>
      <c r="AO34" s="68">
        <v>1</v>
      </c>
      <c r="AQ34" s="7">
        <f t="shared" si="10"/>
        <v>1926.19862191584</v>
      </c>
      <c r="AR34" s="7">
        <f t="shared" si="11"/>
        <v>4484.190391820076</v>
      </c>
    </row>
    <row r="35" spans="1:45">
      <c r="A35">
        <v>25</v>
      </c>
      <c r="B35" s="112">
        <v>4000</v>
      </c>
      <c r="C35" s="26">
        <v>2000</v>
      </c>
      <c r="D35" s="26">
        <v>1300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4000</v>
      </c>
      <c r="K35" s="26">
        <v>0</v>
      </c>
      <c r="L35" s="26">
        <v>0</v>
      </c>
      <c r="M35" s="113">
        <v>0</v>
      </c>
      <c r="N35" s="8">
        <v>25</v>
      </c>
      <c r="O35" s="112">
        <v>4000</v>
      </c>
      <c r="P35" s="26">
        <v>1000</v>
      </c>
      <c r="Q35" s="26">
        <v>0</v>
      </c>
      <c r="R35" s="26">
        <v>0</v>
      </c>
      <c r="S35" s="26">
        <v>0</v>
      </c>
      <c r="T35" s="26">
        <v>0</v>
      </c>
      <c r="U35" s="59">
        <v>0</v>
      </c>
      <c r="V35" s="26">
        <v>15</v>
      </c>
      <c r="W35" s="26">
        <v>325</v>
      </c>
      <c r="X35" s="26">
        <v>0</v>
      </c>
      <c r="Y35" s="26">
        <v>0</v>
      </c>
      <c r="Z35" s="113"/>
      <c r="AB35" s="10">
        <f t="shared" si="0"/>
        <v>11300</v>
      </c>
      <c r="AC35" s="34">
        <f t="shared" si="12"/>
        <v>5865</v>
      </c>
      <c r="AD35" s="10">
        <f t="shared" si="1"/>
        <v>17165</v>
      </c>
      <c r="AE35" s="72">
        <f t="shared" si="2"/>
        <v>65.831634139236826</v>
      </c>
      <c r="AF35" s="72">
        <f t="shared" si="3"/>
        <v>34.168365860763181</v>
      </c>
      <c r="AH35" s="70">
        <f t="shared" si="4"/>
        <v>12502.43562</v>
      </c>
      <c r="AI35" s="17">
        <f t="shared" si="5"/>
        <v>0.18145770130624092</v>
      </c>
      <c r="AJ35" s="17">
        <f t="shared" si="6"/>
        <v>3.943986E-2</v>
      </c>
      <c r="AL35" s="102">
        <f t="shared" si="7"/>
        <v>11726.160818625713</v>
      </c>
      <c r="AM35" s="102">
        <f t="shared" si="8"/>
        <v>776.27480137428802</v>
      </c>
      <c r="AN35" s="46">
        <f t="shared" si="9"/>
        <v>15.105682675601674</v>
      </c>
      <c r="AO35" s="68">
        <v>1</v>
      </c>
      <c r="AQ35" s="7">
        <f t="shared" si="10"/>
        <v>2530.6906060375204</v>
      </c>
      <c r="AR35" s="7">
        <f t="shared" si="11"/>
        <v>5891.4477308553478</v>
      </c>
    </row>
    <row r="36" spans="1:45">
      <c r="A36">
        <v>26</v>
      </c>
      <c r="B36" s="112">
        <v>4000</v>
      </c>
      <c r="C36" s="26">
        <v>2000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f>4000+2000</f>
        <v>6000</v>
      </c>
      <c r="K36" s="26">
        <v>0</v>
      </c>
      <c r="L36" s="26">
        <v>0</v>
      </c>
      <c r="M36" s="113">
        <v>0</v>
      </c>
      <c r="N36" s="8">
        <v>26</v>
      </c>
      <c r="O36" s="112">
        <v>900</v>
      </c>
      <c r="P36" s="26">
        <v>0</v>
      </c>
      <c r="Q36" s="26">
        <v>0</v>
      </c>
      <c r="R36" s="26">
        <v>30</v>
      </c>
      <c r="S36" s="26">
        <v>0</v>
      </c>
      <c r="T36" s="26">
        <v>0</v>
      </c>
      <c r="U36" s="26">
        <v>3000</v>
      </c>
      <c r="V36" s="59">
        <v>0</v>
      </c>
      <c r="W36" s="26">
        <f>325*2</f>
        <v>650</v>
      </c>
      <c r="X36" s="26">
        <v>0</v>
      </c>
      <c r="Y36" s="26">
        <v>0</v>
      </c>
      <c r="Z36" s="113"/>
      <c r="AB36" s="10">
        <f t="shared" si="0"/>
        <v>12000</v>
      </c>
      <c r="AC36" s="34">
        <f t="shared" si="12"/>
        <v>4580</v>
      </c>
      <c r="AD36" s="10">
        <f t="shared" si="1"/>
        <v>16580</v>
      </c>
      <c r="AE36" s="72">
        <f t="shared" si="2"/>
        <v>72.376357056694815</v>
      </c>
      <c r="AF36" s="72">
        <f t="shared" si="3"/>
        <v>27.623642943305185</v>
      </c>
      <c r="AH36" s="70">
        <f t="shared" si="4"/>
        <v>6756.1672800000015</v>
      </c>
      <c r="AI36" s="17">
        <f t="shared" si="5"/>
        <v>9.8057580261248209E-2</v>
      </c>
      <c r="AJ36" s="17">
        <f t="shared" si="6"/>
        <v>2.1312830536277607E-2</v>
      </c>
      <c r="AL36" s="102">
        <f t="shared" si="7"/>
        <v>6152.3835076061796</v>
      </c>
      <c r="AM36" s="102">
        <f t="shared" si="8"/>
        <v>603.78377239382246</v>
      </c>
      <c r="AN36" s="46">
        <f t="shared" si="9"/>
        <v>10.189713253163157</v>
      </c>
      <c r="AO36" s="68">
        <v>1</v>
      </c>
      <c r="AQ36" s="7">
        <f t="shared" si="10"/>
        <v>1245.6862197739199</v>
      </c>
      <c r="AR36" s="7">
        <f t="shared" si="11"/>
        <v>2899.9575196336859</v>
      </c>
    </row>
    <row r="37" spans="1:45">
      <c r="A37">
        <v>27</v>
      </c>
      <c r="B37" s="112">
        <v>4000</v>
      </c>
      <c r="C37" s="26">
        <v>2000</v>
      </c>
      <c r="D37" s="26">
        <v>1000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4000</v>
      </c>
      <c r="K37" s="26">
        <v>0</v>
      </c>
      <c r="L37" s="26">
        <v>0</v>
      </c>
      <c r="M37" s="113">
        <v>0</v>
      </c>
      <c r="N37" s="8">
        <v>27</v>
      </c>
      <c r="O37" s="112">
        <v>1000</v>
      </c>
      <c r="P37" s="26">
        <v>0</v>
      </c>
      <c r="Q37" s="26">
        <v>0</v>
      </c>
      <c r="R37" s="26">
        <v>30</v>
      </c>
      <c r="S37" s="26">
        <v>0</v>
      </c>
      <c r="T37" s="26">
        <v>0</v>
      </c>
      <c r="U37" s="26">
        <v>3000</v>
      </c>
      <c r="V37" s="26">
        <v>15</v>
      </c>
      <c r="W37" s="26">
        <v>0</v>
      </c>
      <c r="X37" s="26">
        <v>0</v>
      </c>
      <c r="Y37" s="26">
        <v>0</v>
      </c>
      <c r="Z37" s="113"/>
      <c r="AB37" s="10">
        <f t="shared" si="0"/>
        <v>11000</v>
      </c>
      <c r="AC37" s="34">
        <f t="shared" si="12"/>
        <v>4570</v>
      </c>
      <c r="AD37" s="10">
        <f t="shared" si="1"/>
        <v>15570</v>
      </c>
      <c r="AE37" s="72">
        <f t="shared" si="2"/>
        <v>70.648683365446374</v>
      </c>
      <c r="AF37" s="72">
        <f t="shared" si="3"/>
        <v>29.35131663455363</v>
      </c>
      <c r="AH37" s="70">
        <f t="shared" si="4"/>
        <v>8596.3549200000016</v>
      </c>
      <c r="AI37" s="17">
        <f t="shared" si="5"/>
        <v>0.12476567373004356</v>
      </c>
      <c r="AJ37" s="17">
        <f t="shared" si="6"/>
        <v>2.7117838864353316E-2</v>
      </c>
      <c r="AL37" s="102">
        <f t="shared" si="7"/>
        <v>7981.0356503088815</v>
      </c>
      <c r="AM37" s="102">
        <f t="shared" si="8"/>
        <v>615.31926969111976</v>
      </c>
      <c r="AN37" s="46">
        <f t="shared" si="9"/>
        <v>12.970560233413837</v>
      </c>
      <c r="AO37" s="68">
        <v>1</v>
      </c>
      <c r="AQ37" s="7">
        <f t="shared" si="10"/>
        <v>1294.4636709422402</v>
      </c>
      <c r="AR37" s="7">
        <f t="shared" si="11"/>
        <v>3013.5114259535353</v>
      </c>
    </row>
    <row r="38" spans="1:45">
      <c r="A38">
        <v>28</v>
      </c>
      <c r="B38" s="112">
        <v>4000</v>
      </c>
      <c r="C38" s="26">
        <v>2000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f>2000+2000</f>
        <v>4000</v>
      </c>
      <c r="K38" s="26">
        <v>0</v>
      </c>
      <c r="L38" s="26">
        <v>0</v>
      </c>
      <c r="M38" s="113">
        <v>0</v>
      </c>
      <c r="N38" s="8">
        <v>28</v>
      </c>
      <c r="O38" s="112">
        <v>1000</v>
      </c>
      <c r="P38" s="26">
        <v>1500</v>
      </c>
      <c r="Q38" s="26">
        <v>0</v>
      </c>
      <c r="R38" s="26">
        <v>30</v>
      </c>
      <c r="S38" s="26">
        <v>0</v>
      </c>
      <c r="T38" s="26">
        <v>0</v>
      </c>
      <c r="U38" s="59">
        <v>0</v>
      </c>
      <c r="V38" s="26">
        <v>22</v>
      </c>
      <c r="W38" s="26">
        <v>325</v>
      </c>
      <c r="X38" s="26">
        <v>0</v>
      </c>
      <c r="Y38" s="26">
        <v>0</v>
      </c>
      <c r="Z38" s="113"/>
      <c r="AB38" s="10">
        <f t="shared" si="0"/>
        <v>10000</v>
      </c>
      <c r="AC38" s="34">
        <f t="shared" si="12"/>
        <v>3647</v>
      </c>
      <c r="AD38" s="10">
        <f t="shared" si="1"/>
        <v>13647</v>
      </c>
      <c r="AE38" s="72">
        <f t="shared" si="2"/>
        <v>73.27617791455998</v>
      </c>
      <c r="AF38" s="72">
        <f t="shared" si="3"/>
        <v>26.723822085440023</v>
      </c>
      <c r="AH38" s="70">
        <f t="shared" si="4"/>
        <v>11716.098720000002</v>
      </c>
      <c r="AI38" s="17">
        <f t="shared" si="5"/>
        <v>0.17004497416545722</v>
      </c>
      <c r="AJ38" s="17">
        <f t="shared" si="6"/>
        <v>3.6959301955835966E-2</v>
      </c>
      <c r="AL38" s="102">
        <f t="shared" si="7"/>
        <v>11162.430688498416</v>
      </c>
      <c r="AM38" s="102">
        <f t="shared" si="8"/>
        <v>553.66803150158648</v>
      </c>
      <c r="AN38" s="46">
        <f t="shared" si="9"/>
        <v>20.160872677125898</v>
      </c>
      <c r="AO38" s="68">
        <v>1</v>
      </c>
      <c r="AQ38" s="7">
        <f t="shared" si="10"/>
        <v>2667.4615350172799</v>
      </c>
      <c r="AR38" s="7">
        <f t="shared" si="11"/>
        <v>6209.8504535202273</v>
      </c>
    </row>
    <row r="39" spans="1:45">
      <c r="A39">
        <v>29</v>
      </c>
      <c r="B39" s="112">
        <v>4000</v>
      </c>
      <c r="C39" s="26">
        <v>2000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4000</v>
      </c>
      <c r="K39" s="26">
        <v>0</v>
      </c>
      <c r="L39" s="26">
        <v>0</v>
      </c>
      <c r="M39" s="113">
        <v>0</v>
      </c>
      <c r="N39" s="8">
        <v>29</v>
      </c>
      <c r="O39" s="112">
        <f>1000+4000</f>
        <v>5000</v>
      </c>
      <c r="P39" s="26">
        <v>1500</v>
      </c>
      <c r="Q39" s="26">
        <v>0</v>
      </c>
      <c r="R39" s="26">
        <v>30</v>
      </c>
      <c r="S39" s="26">
        <v>0</v>
      </c>
      <c r="T39" s="26">
        <v>0</v>
      </c>
      <c r="U39" s="59">
        <v>0</v>
      </c>
      <c r="V39" s="59">
        <v>0</v>
      </c>
      <c r="W39" s="59">
        <v>0</v>
      </c>
      <c r="X39" s="26">
        <v>0</v>
      </c>
      <c r="Y39" s="26">
        <v>0</v>
      </c>
      <c r="Z39" s="113"/>
      <c r="AB39" s="10">
        <f t="shared" si="0"/>
        <v>10000</v>
      </c>
      <c r="AC39" s="34">
        <f t="shared" si="12"/>
        <v>6530</v>
      </c>
      <c r="AD39" s="10">
        <f t="shared" si="1"/>
        <v>16530</v>
      </c>
      <c r="AE39" s="72">
        <f t="shared" si="2"/>
        <v>60.496067755595888</v>
      </c>
      <c r="AF39" s="72">
        <f t="shared" si="3"/>
        <v>39.503932244404112</v>
      </c>
      <c r="AH39" s="70">
        <f t="shared" si="4"/>
        <v>11559.139920000001</v>
      </c>
      <c r="AI39" s="17">
        <f t="shared" si="5"/>
        <v>0.16776690740203196</v>
      </c>
      <c r="AJ39" s="17">
        <f t="shared" si="6"/>
        <v>3.6464163785488966E-2</v>
      </c>
      <c r="AL39" s="102">
        <f t="shared" si="7"/>
        <v>10859.490117069843</v>
      </c>
      <c r="AM39" s="102">
        <f t="shared" si="8"/>
        <v>699.64980293015788</v>
      </c>
      <c r="AN39" s="46">
        <f t="shared" si="9"/>
        <v>15.521322340962463</v>
      </c>
      <c r="AO39" s="68">
        <v>1</v>
      </c>
      <c r="AQ39" s="7">
        <f t="shared" si="10"/>
        <v>2951.4557039414399</v>
      </c>
      <c r="AR39" s="7">
        <f t="shared" si="11"/>
        <v>6870.9888787756727</v>
      </c>
    </row>
    <row r="40" spans="1:45">
      <c r="A40">
        <v>30</v>
      </c>
      <c r="B40" s="114">
        <v>0</v>
      </c>
      <c r="C40" s="115">
        <v>2000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4000</v>
      </c>
      <c r="K40" s="115">
        <v>0</v>
      </c>
      <c r="L40" s="115">
        <v>0</v>
      </c>
      <c r="M40" s="116">
        <v>0</v>
      </c>
      <c r="N40" s="8">
        <v>30</v>
      </c>
      <c r="O40" s="114">
        <v>0</v>
      </c>
      <c r="P40" s="115">
        <v>1500</v>
      </c>
      <c r="Q40" s="115">
        <v>0</v>
      </c>
      <c r="R40" s="115">
        <v>20</v>
      </c>
      <c r="S40" s="115">
        <v>0</v>
      </c>
      <c r="T40" s="115">
        <v>0</v>
      </c>
      <c r="U40" s="58">
        <v>0</v>
      </c>
      <c r="V40" s="115">
        <v>12</v>
      </c>
      <c r="W40" s="58">
        <v>0</v>
      </c>
      <c r="X40" s="115">
        <v>0</v>
      </c>
      <c r="Y40" s="115">
        <v>0</v>
      </c>
      <c r="Z40" s="116"/>
      <c r="AB40" s="10">
        <f t="shared" si="0"/>
        <v>6000</v>
      </c>
      <c r="AC40" s="34">
        <f t="shared" si="12"/>
        <v>1952</v>
      </c>
      <c r="AD40" s="10">
        <f t="shared" si="1"/>
        <v>7952</v>
      </c>
      <c r="AE40" s="72">
        <f t="shared" si="2"/>
        <v>75.452716297786722</v>
      </c>
      <c r="AF40" s="72">
        <f t="shared" si="3"/>
        <v>24.547283702213278</v>
      </c>
      <c r="AH40" s="70">
        <f t="shared" si="4"/>
        <v>8231.4799199999998</v>
      </c>
      <c r="AI40" s="17">
        <f t="shared" si="5"/>
        <v>0.11946995529753265</v>
      </c>
      <c r="AJ40" s="17">
        <f t="shared" si="6"/>
        <v>2.5966813627760252E-2</v>
      </c>
      <c r="AL40" s="102">
        <f t="shared" si="7"/>
        <v>7887.2749599269855</v>
      </c>
      <c r="AM40" s="102">
        <f t="shared" si="8"/>
        <v>344.20496007301506</v>
      </c>
      <c r="AN40" s="46">
        <f t="shared" si="9"/>
        <v>22.914472116421226</v>
      </c>
      <c r="AO40" s="68">
        <v>1</v>
      </c>
      <c r="AQ40" s="7">
        <f t="shared" si="10"/>
        <v>2179.8005120524799</v>
      </c>
      <c r="AR40" s="7">
        <f t="shared" si="11"/>
        <v>5074.5755920581732</v>
      </c>
    </row>
    <row r="41" spans="1:45">
      <c r="A41" s="35"/>
      <c r="B41" s="30"/>
      <c r="C41" s="30"/>
      <c r="D41" s="76"/>
      <c r="E41" s="52"/>
      <c r="F41" s="52"/>
      <c r="G41" s="59"/>
      <c r="H41" s="59"/>
      <c r="I41" s="59"/>
      <c r="J41" s="76"/>
      <c r="K41" s="59"/>
      <c r="L41" s="59"/>
      <c r="M41" s="59"/>
      <c r="N41" s="98"/>
      <c r="O41" s="30"/>
      <c r="P41" s="30"/>
      <c r="Q41" s="59"/>
      <c r="R41" s="30"/>
      <c r="S41" s="59"/>
      <c r="T41" s="76"/>
      <c r="U41" s="30"/>
      <c r="V41" s="30"/>
      <c r="W41" s="76"/>
      <c r="X41" s="76"/>
      <c r="Y41" s="76"/>
      <c r="Z41" s="30"/>
      <c r="AH41" s="15"/>
      <c r="AI41" s="17"/>
      <c r="AJ41" s="17"/>
      <c r="AL41" s="104"/>
      <c r="AM41" s="104"/>
      <c r="AN41" s="46"/>
    </row>
    <row r="42" spans="1:45">
      <c r="A42" s="35"/>
      <c r="B42" s="30"/>
      <c r="C42" s="30"/>
      <c r="D42" s="76"/>
      <c r="E42" s="52"/>
      <c r="F42" s="52"/>
      <c r="G42" s="59"/>
      <c r="H42" s="59"/>
      <c r="I42" s="59"/>
      <c r="J42" s="76"/>
      <c r="K42" s="59"/>
      <c r="L42" s="59"/>
      <c r="M42" s="59"/>
      <c r="N42" s="98"/>
      <c r="O42" s="30"/>
      <c r="P42" s="30"/>
      <c r="Q42" s="59"/>
      <c r="R42" s="30"/>
      <c r="S42" s="59"/>
      <c r="T42" s="76"/>
      <c r="U42" s="30"/>
      <c r="V42" s="30"/>
      <c r="W42" s="76"/>
      <c r="X42" s="76"/>
      <c r="Y42" s="76"/>
      <c r="Z42" s="30"/>
      <c r="AA42" s="60" t="s">
        <v>21</v>
      </c>
      <c r="AB42" s="10">
        <f>SUM(AB11:AB40)</f>
        <v>293710</v>
      </c>
      <c r="AC42" s="10">
        <f>SUM(AC11:AC40)</f>
        <v>138579</v>
      </c>
      <c r="AD42" s="10">
        <f>SUM(AD11:AD40)</f>
        <v>432289</v>
      </c>
      <c r="AH42" s="15"/>
      <c r="AI42" s="17"/>
      <c r="AJ42" s="17"/>
      <c r="AK42" s="4" t="s">
        <v>70</v>
      </c>
      <c r="AL42" s="102">
        <f>AVERAGE(AL11:AL40)</f>
        <v>10023.698060807748</v>
      </c>
      <c r="AM42" s="102">
        <f>AVERAGE(AM11:AM40)</f>
        <v>568.26209499225251</v>
      </c>
      <c r="AN42" s="46">
        <f>AVERAGE(AN11:AN40)</f>
        <v>18.651045260002043</v>
      </c>
    </row>
    <row r="43" spans="1:45">
      <c r="B43" s="7"/>
      <c r="C43" s="7"/>
    </row>
    <row r="44" spans="1:45">
      <c r="A44" s="16" t="s">
        <v>21</v>
      </c>
      <c r="B44" s="64">
        <f t="shared" ref="B44:M44" si="13">SUM(B11:B40)</f>
        <v>115000</v>
      </c>
      <c r="C44" s="64">
        <f t="shared" si="13"/>
        <v>62600</v>
      </c>
      <c r="D44" s="64">
        <f t="shared" si="13"/>
        <v>13310</v>
      </c>
      <c r="E44" s="64">
        <f t="shared" si="13"/>
        <v>0</v>
      </c>
      <c r="F44" s="64">
        <f t="shared" si="13"/>
        <v>0</v>
      </c>
      <c r="G44" s="64">
        <f t="shared" si="13"/>
        <v>0</v>
      </c>
      <c r="H44" s="64">
        <f t="shared" si="13"/>
        <v>0</v>
      </c>
      <c r="I44" s="64">
        <f t="shared" si="13"/>
        <v>0</v>
      </c>
      <c r="J44" s="64">
        <f t="shared" si="13"/>
        <v>102800</v>
      </c>
      <c r="K44" s="64">
        <f t="shared" si="13"/>
        <v>0</v>
      </c>
      <c r="L44" s="64">
        <f t="shared" si="13"/>
        <v>0</v>
      </c>
      <c r="M44" s="64">
        <f t="shared" si="13"/>
        <v>0</v>
      </c>
      <c r="N44" s="60"/>
      <c r="O44" s="60">
        <f t="shared" ref="O44:Y44" si="14">SUM(O11:O40)</f>
        <v>53600</v>
      </c>
      <c r="P44" s="60">
        <f t="shared" si="14"/>
        <v>31950</v>
      </c>
      <c r="Q44" s="60">
        <f t="shared" si="14"/>
        <v>0</v>
      </c>
      <c r="R44" s="60">
        <f t="shared" si="14"/>
        <v>730</v>
      </c>
      <c r="S44" s="60">
        <f t="shared" si="14"/>
        <v>0</v>
      </c>
      <c r="T44" s="60">
        <f t="shared" si="14"/>
        <v>0</v>
      </c>
      <c r="U44" s="60">
        <f t="shared" si="14"/>
        <v>36600</v>
      </c>
      <c r="V44" s="60">
        <f t="shared" si="14"/>
        <v>264</v>
      </c>
      <c r="W44" s="60">
        <f t="shared" si="14"/>
        <v>6125</v>
      </c>
      <c r="X44" s="60">
        <f t="shared" si="14"/>
        <v>0</v>
      </c>
      <c r="Y44" s="60">
        <f t="shared" si="14"/>
        <v>70</v>
      </c>
      <c r="Z44" s="60"/>
      <c r="AA44" s="4" t="s">
        <v>19</v>
      </c>
      <c r="AB44" s="60">
        <f>AVERAGE(AB11:AB40)</f>
        <v>9790.3333333333339</v>
      </c>
      <c r="AC44" s="61">
        <f>AVERAGE(AC11:AC40)</f>
        <v>4619.3</v>
      </c>
      <c r="AD44" s="60">
        <f>AVERAGE(AD11:AD40)</f>
        <v>14409.633333333333</v>
      </c>
      <c r="AE44" s="60">
        <f>AVERAGE(AE11:AE40)</f>
        <v>68.430088014977088</v>
      </c>
      <c r="AF44" s="60">
        <f>AVERAGE(AF11:AF40)</f>
        <v>31.56991198502293</v>
      </c>
      <c r="AG44" s="60"/>
      <c r="AH44" s="60">
        <f>AVERAGE(AH11:AH40)</f>
        <v>10591.960155800001</v>
      </c>
      <c r="AI44" s="62">
        <f>AVERAGE(AI11:AI40)</f>
        <v>0.15372946525108849</v>
      </c>
      <c r="AJ44" s="62">
        <f>AVERAGE(AJ11:AJ40)</f>
        <v>3.3413123519873814E-2</v>
      </c>
      <c r="AK44" s="62"/>
      <c r="AL44" s="62"/>
      <c r="AM44" s="62"/>
      <c r="AN44" s="62">
        <f>AVERAGE(AN11:AN40)</f>
        <v>18.651045260002043</v>
      </c>
      <c r="AO44" s="6"/>
      <c r="AP44" s="4" t="s">
        <v>19</v>
      </c>
      <c r="AQ44" s="63">
        <f>AVERAGE(AQ11:AQ40)</f>
        <v>2420.9566808005702</v>
      </c>
      <c r="AR44" s="63">
        <f>AVERAGE(AR11:AR40)</f>
        <v>5635.9871529037291</v>
      </c>
      <c r="AS44" s="131">
        <v>8056</v>
      </c>
    </row>
    <row r="45" spans="1:45">
      <c r="A45" t="s">
        <v>19</v>
      </c>
      <c r="B45" s="64">
        <f t="shared" ref="B45:M45" si="15">(SUM(B11:B40)/31)</f>
        <v>3709.6774193548385</v>
      </c>
      <c r="C45" s="64">
        <f t="shared" si="15"/>
        <v>2019.3548387096773</v>
      </c>
      <c r="D45" s="64">
        <f t="shared" si="15"/>
        <v>429.35483870967744</v>
      </c>
      <c r="E45" s="64">
        <f t="shared" si="15"/>
        <v>0</v>
      </c>
      <c r="F45" s="64">
        <f t="shared" si="15"/>
        <v>0</v>
      </c>
      <c r="G45" s="64">
        <f t="shared" si="15"/>
        <v>0</v>
      </c>
      <c r="H45" s="64">
        <f t="shared" si="15"/>
        <v>0</v>
      </c>
      <c r="I45" s="64">
        <f t="shared" si="15"/>
        <v>0</v>
      </c>
      <c r="J45" s="64">
        <f t="shared" si="15"/>
        <v>3316.1290322580644</v>
      </c>
      <c r="K45" s="64">
        <f t="shared" si="15"/>
        <v>0</v>
      </c>
      <c r="L45" s="64">
        <f t="shared" si="15"/>
        <v>0</v>
      </c>
      <c r="M45" s="64">
        <f t="shared" si="15"/>
        <v>0</v>
      </c>
      <c r="N45" s="4"/>
      <c r="O45" s="64">
        <f t="shared" ref="O45:Y45" si="16">(SUM(O11:O40)/31)</f>
        <v>1729.0322580645161</v>
      </c>
      <c r="P45" s="64">
        <f t="shared" si="16"/>
        <v>1030.6451612903227</v>
      </c>
      <c r="Q45" s="64">
        <f t="shared" si="16"/>
        <v>0</v>
      </c>
      <c r="R45" s="64">
        <f t="shared" si="16"/>
        <v>23.548387096774192</v>
      </c>
      <c r="S45" s="64">
        <f t="shared" si="16"/>
        <v>0</v>
      </c>
      <c r="T45" s="64">
        <f t="shared" si="16"/>
        <v>0</v>
      </c>
      <c r="U45" s="64">
        <f t="shared" si="16"/>
        <v>1180.6451612903227</v>
      </c>
      <c r="V45" s="64">
        <f t="shared" si="16"/>
        <v>8.5161290322580641</v>
      </c>
      <c r="W45" s="64">
        <f t="shared" si="16"/>
        <v>197.58064516129033</v>
      </c>
      <c r="X45" s="64">
        <f t="shared" si="16"/>
        <v>0</v>
      </c>
      <c r="Y45" s="64">
        <f t="shared" si="16"/>
        <v>2.2580645161290325</v>
      </c>
      <c r="Z45" s="74"/>
      <c r="AA45" s="4" t="s">
        <v>20</v>
      </c>
      <c r="AB45" s="64">
        <f>STDEV(AB11:AB40)</f>
        <v>2563.7748076552689</v>
      </c>
      <c r="AC45" s="65">
        <f>STDEV(AC11:AC40)</f>
        <v>2300.8997962566277</v>
      </c>
      <c r="AD45" s="64">
        <f>STDEV(AD11:AD40)</f>
        <v>2832.3917453012323</v>
      </c>
      <c r="AE45" s="64">
        <f>STDEV(AE11:AE40)</f>
        <v>13.82095291817633</v>
      </c>
      <c r="AF45" s="64">
        <f>STDEV(AF11:AF40)</f>
        <v>13.820952918176415</v>
      </c>
      <c r="AG45" s="64"/>
      <c r="AH45" s="64">
        <f>STDEV(AH11:AH40)</f>
        <v>2602.46820264609</v>
      </c>
      <c r="AI45" s="66">
        <f>STDEV(AI11:AI40)</f>
        <v>3.7771672026794059E-2</v>
      </c>
      <c r="AJ45" s="66">
        <f>STDEV(AJ11:AJ40)</f>
        <v>8.209678872700639E-3</v>
      </c>
      <c r="AK45" s="66"/>
      <c r="AL45" s="66"/>
      <c r="AM45" s="66"/>
      <c r="AN45" s="66">
        <f>STDEV(AN11:AN40)</f>
        <v>5.9627536299707939</v>
      </c>
      <c r="AO45" s="6"/>
      <c r="AP45" s="4" t="s">
        <v>20</v>
      </c>
      <c r="AQ45" s="64">
        <f>STDEV(AQ11:AQ40)</f>
        <v>927.74154592708362</v>
      </c>
      <c r="AR45" s="64">
        <f>STDEV(AR11:AR40)</f>
        <v>2159.7823189182459</v>
      </c>
      <c r="AS45" s="131">
        <v>823</v>
      </c>
    </row>
    <row r="46" spans="1:45">
      <c r="B46" s="7"/>
      <c r="C46" s="7"/>
    </row>
  </sheetData>
  <mergeCells count="5">
    <mergeCell ref="AQ7:AR7"/>
    <mergeCell ref="AL8:AO8"/>
    <mergeCell ref="B9:M9"/>
    <mergeCell ref="O9:R9"/>
    <mergeCell ref="Y9:Z9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7"/>
  <sheetViews>
    <sheetView tabSelected="1" topLeftCell="Z9" workbookViewId="0">
      <selection activeCell="AG34" sqref="AG34"/>
    </sheetView>
  </sheetViews>
  <sheetFormatPr baseColWidth="10" defaultColWidth="8.83203125" defaultRowHeight="15" x14ac:dyDescent="0"/>
  <cols>
    <col min="2" max="2" width="21.1640625" customWidth="1"/>
    <col min="3" max="3" width="9.5" customWidth="1"/>
    <col min="4" max="4" width="8.33203125" customWidth="1"/>
    <col min="5" max="5" width="7.83203125" customWidth="1"/>
    <col min="6" max="6" width="8" customWidth="1"/>
    <col min="7" max="7" width="7.5" customWidth="1"/>
    <col min="8" max="8" width="9.1640625" customWidth="1"/>
    <col min="9" max="9" width="8.5" customWidth="1"/>
    <col min="10" max="10" width="7.5" customWidth="1"/>
    <col min="12" max="12" width="7.5" customWidth="1"/>
    <col min="14" max="15" width="7.83203125" customWidth="1"/>
    <col min="16" max="16" width="8.5" customWidth="1"/>
    <col min="17" max="17" width="8.33203125" customWidth="1"/>
    <col min="18" max="18" width="7.1640625" customWidth="1"/>
    <col min="19" max="19" width="6.33203125" customWidth="1"/>
    <col min="20" max="20" width="8" customWidth="1"/>
    <col min="21" max="21" width="6.5" customWidth="1"/>
    <col min="22" max="22" width="8" customWidth="1"/>
    <col min="23" max="23" width="12.33203125" style="35" customWidth="1"/>
    <col min="24" max="24" width="7.5" customWidth="1"/>
    <col min="25" max="25" width="8.6640625" style="35" customWidth="1"/>
    <col min="26" max="27" width="13.33203125" style="35" customWidth="1"/>
    <col min="28" max="28" width="8" customWidth="1"/>
    <col min="29" max="29" width="11.6640625" customWidth="1"/>
    <col min="30" max="30" width="11.6640625" style="35" customWidth="1"/>
    <col min="31" max="31" width="11.6640625" customWidth="1"/>
    <col min="34" max="34" width="4" customWidth="1"/>
    <col min="35" max="35" width="11.6640625" bestFit="1" customWidth="1"/>
    <col min="36" max="37" width="11.33203125" customWidth="1"/>
    <col min="38" max="38" width="4.6640625" customWidth="1"/>
    <col min="39" max="40" width="8.33203125" style="101" customWidth="1"/>
    <col min="42" max="42" width="3.83203125" style="68" customWidth="1"/>
    <col min="43" max="43" width="5.1640625" customWidth="1"/>
    <col min="44" max="44" width="11.1640625" customWidth="1"/>
    <col min="45" max="45" width="11.33203125" customWidth="1"/>
  </cols>
  <sheetData>
    <row r="1" spans="1:48" ht="18">
      <c r="B1" s="1" t="s">
        <v>75</v>
      </c>
      <c r="C1" s="11"/>
      <c r="D1" s="11"/>
      <c r="E1" s="47" t="s">
        <v>60</v>
      </c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6" t="s">
        <v>45</v>
      </c>
      <c r="X1" s="1"/>
      <c r="Y1" s="37"/>
      <c r="Z1" s="37"/>
      <c r="AA1" s="37"/>
      <c r="AB1" s="1"/>
      <c r="AC1" s="2"/>
      <c r="AD1" s="32"/>
      <c r="AE1" s="2"/>
      <c r="AF1" s="2"/>
      <c r="AG1" s="2"/>
      <c r="AH1" s="1"/>
      <c r="AI1" s="1"/>
      <c r="AJ1" s="1"/>
      <c r="AK1" s="1"/>
      <c r="AL1" s="1"/>
      <c r="AM1" s="19"/>
      <c r="AN1" s="19"/>
      <c r="AO1" s="1"/>
      <c r="AP1" s="67"/>
    </row>
    <row r="2" spans="1:48" ht="19" thickBot="1">
      <c r="B2" s="29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2">
        <v>36</v>
      </c>
      <c r="X2" s="1"/>
      <c r="Y2" s="37"/>
      <c r="Z2" s="37"/>
      <c r="AA2" s="37"/>
      <c r="AB2" s="1"/>
      <c r="AC2" s="2"/>
      <c r="AD2" s="32"/>
      <c r="AE2" s="2"/>
      <c r="AF2" s="2"/>
      <c r="AG2" s="2"/>
      <c r="AH2" s="1"/>
      <c r="AI2" s="1"/>
      <c r="AJ2" s="1"/>
      <c r="AK2" s="1"/>
      <c r="AL2" s="1"/>
      <c r="AM2" s="19"/>
      <c r="AN2" s="19"/>
      <c r="AO2" s="1"/>
      <c r="AP2" s="67"/>
      <c r="AS2" s="35" t="s">
        <v>73</v>
      </c>
    </row>
    <row r="3" spans="1:48" ht="18">
      <c r="B3" s="29" t="s">
        <v>23</v>
      </c>
      <c r="C3" s="12">
        <v>8.5</v>
      </c>
      <c r="D3" s="12">
        <v>8.5</v>
      </c>
      <c r="E3" s="13">
        <v>21.5</v>
      </c>
      <c r="F3" s="13">
        <v>33</v>
      </c>
      <c r="G3" s="13">
        <v>25</v>
      </c>
      <c r="H3" s="13">
        <v>88</v>
      </c>
      <c r="I3" s="13">
        <v>37</v>
      </c>
      <c r="J3" s="13">
        <v>92</v>
      </c>
      <c r="K3" s="13">
        <v>3.4</v>
      </c>
      <c r="L3" s="13">
        <v>98</v>
      </c>
      <c r="M3" s="13">
        <v>42</v>
      </c>
      <c r="N3" s="13">
        <v>35</v>
      </c>
      <c r="O3" s="29" t="s">
        <v>23</v>
      </c>
      <c r="P3" s="13">
        <v>5</v>
      </c>
      <c r="Q3" s="13">
        <v>45</v>
      </c>
      <c r="R3" s="38">
        <v>2.5</v>
      </c>
      <c r="S3" s="13"/>
      <c r="T3" s="13"/>
      <c r="U3" s="13"/>
      <c r="V3" s="13">
        <v>7</v>
      </c>
      <c r="W3" s="38">
        <v>25</v>
      </c>
      <c r="X3" s="13">
        <v>8</v>
      </c>
      <c r="Y3" s="38">
        <v>95</v>
      </c>
      <c r="Z3" s="38"/>
      <c r="AA3" s="38"/>
      <c r="AB3" s="1"/>
      <c r="AC3" s="2"/>
      <c r="AD3" s="32"/>
      <c r="AE3" s="2"/>
      <c r="AF3" s="2"/>
      <c r="AG3" s="2"/>
      <c r="AH3" s="1"/>
      <c r="AJ3" s="6" t="s">
        <v>34</v>
      </c>
      <c r="AK3" s="6" t="s">
        <v>35</v>
      </c>
      <c r="AL3" s="1"/>
      <c r="AM3" s="19"/>
      <c r="AN3" s="19"/>
      <c r="AO3" s="1"/>
      <c r="AP3" s="67"/>
      <c r="AR3" t="s">
        <v>72</v>
      </c>
      <c r="AS3" s="109">
        <v>0.6</v>
      </c>
    </row>
    <row r="4" spans="1:48" ht="18">
      <c r="B4" s="29" t="s">
        <v>24</v>
      </c>
      <c r="C4" s="12">
        <v>76.5</v>
      </c>
      <c r="D4" s="12">
        <v>76.5</v>
      </c>
      <c r="E4" s="13">
        <v>83</v>
      </c>
      <c r="F4" s="13">
        <v>93</v>
      </c>
      <c r="G4" s="13">
        <v>85</v>
      </c>
      <c r="H4" s="13">
        <v>88</v>
      </c>
      <c r="I4" s="13">
        <v>85</v>
      </c>
      <c r="J4" s="13">
        <v>85</v>
      </c>
      <c r="K4" s="13">
        <v>63.3</v>
      </c>
      <c r="L4" s="13">
        <v>80</v>
      </c>
      <c r="M4" s="13">
        <v>90</v>
      </c>
      <c r="N4" s="13">
        <v>85</v>
      </c>
      <c r="O4" s="29" t="s">
        <v>24</v>
      </c>
      <c r="P4" s="13">
        <v>96.6</v>
      </c>
      <c r="Q4" s="13">
        <v>99</v>
      </c>
      <c r="R4" s="38">
        <v>95</v>
      </c>
      <c r="S4" s="13"/>
      <c r="T4" s="13"/>
      <c r="U4" s="13"/>
      <c r="V4" s="13">
        <v>95</v>
      </c>
      <c r="W4" s="38">
        <v>95</v>
      </c>
      <c r="X4" s="13">
        <v>92</v>
      </c>
      <c r="Y4" s="38">
        <v>90</v>
      </c>
      <c r="Z4" s="38"/>
      <c r="AA4" s="38"/>
      <c r="AB4" s="1"/>
      <c r="AC4" s="2"/>
      <c r="AD4" s="32"/>
      <c r="AE4" s="2"/>
      <c r="AF4" s="2"/>
      <c r="AG4" s="2"/>
      <c r="AH4" s="1"/>
      <c r="AI4" s="4" t="s">
        <v>64</v>
      </c>
      <c r="AJ4" s="7">
        <v>106000</v>
      </c>
      <c r="AK4" s="7">
        <v>317000</v>
      </c>
      <c r="AL4" s="1"/>
      <c r="AM4" s="19"/>
      <c r="AN4" s="19"/>
      <c r="AO4" s="1"/>
      <c r="AP4" s="67"/>
    </row>
    <row r="5" spans="1:48" ht="18">
      <c r="B5" s="29" t="s">
        <v>61</v>
      </c>
      <c r="C5" s="12">
        <v>19</v>
      </c>
      <c r="D5" s="12">
        <v>19</v>
      </c>
      <c r="E5" s="13">
        <v>20</v>
      </c>
      <c r="F5" s="13">
        <v>40</v>
      </c>
      <c r="G5" s="13">
        <v>15</v>
      </c>
      <c r="H5" s="13">
        <v>25</v>
      </c>
      <c r="I5" s="13">
        <v>15</v>
      </c>
      <c r="J5" s="13">
        <v>60</v>
      </c>
      <c r="K5" s="13">
        <v>2.7</v>
      </c>
      <c r="L5" s="13">
        <v>175</v>
      </c>
      <c r="M5" s="13">
        <v>20</v>
      </c>
      <c r="N5" s="13">
        <v>30</v>
      </c>
      <c r="O5" s="29" t="s">
        <v>25</v>
      </c>
      <c r="P5" s="13">
        <v>6</v>
      </c>
      <c r="Q5" s="13">
        <v>100</v>
      </c>
      <c r="R5" s="38">
        <v>75</v>
      </c>
      <c r="S5" s="13"/>
      <c r="T5" s="13"/>
      <c r="U5" s="13"/>
      <c r="V5" s="13">
        <v>20</v>
      </c>
      <c r="W5" s="38">
        <v>20</v>
      </c>
      <c r="X5" s="13">
        <v>20</v>
      </c>
      <c r="Y5" s="38">
        <v>98</v>
      </c>
      <c r="Z5" s="38"/>
      <c r="AA5" s="38"/>
      <c r="AB5" s="1"/>
      <c r="AC5" s="2"/>
      <c r="AD5" s="32"/>
      <c r="AE5" s="2"/>
      <c r="AF5" s="2"/>
      <c r="AG5" s="2"/>
      <c r="AH5" s="1"/>
      <c r="AI5" s="4" t="s">
        <v>36</v>
      </c>
      <c r="AJ5" s="105">
        <v>0.65</v>
      </c>
      <c r="AK5" s="105">
        <v>1</v>
      </c>
      <c r="AL5" s="1"/>
      <c r="AM5" s="19"/>
      <c r="AN5" s="19"/>
      <c r="AO5" s="1"/>
      <c r="AP5" s="67"/>
      <c r="AS5" s="35" t="s">
        <v>73</v>
      </c>
    </row>
    <row r="6" spans="1:48" s="35" customFormat="1" ht="18">
      <c r="B6" s="5" t="s">
        <v>26</v>
      </c>
      <c r="C6" s="106">
        <v>1</v>
      </c>
      <c r="D6" s="106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38">
        <v>1</v>
      </c>
      <c r="O6" s="5" t="s">
        <v>26</v>
      </c>
      <c r="P6" s="38">
        <v>1</v>
      </c>
      <c r="Q6" s="38">
        <v>1</v>
      </c>
      <c r="R6" s="38">
        <v>1</v>
      </c>
      <c r="S6" s="38"/>
      <c r="T6" s="38"/>
      <c r="U6" s="38"/>
      <c r="V6" s="38">
        <v>1</v>
      </c>
      <c r="W6" s="38">
        <v>1</v>
      </c>
      <c r="X6" s="38">
        <v>1</v>
      </c>
      <c r="Y6" s="38">
        <v>1</v>
      </c>
      <c r="Z6" s="38"/>
      <c r="AA6" s="38"/>
      <c r="AB6" s="37"/>
      <c r="AC6" s="32"/>
      <c r="AD6" s="32"/>
      <c r="AE6" s="32"/>
      <c r="AF6" s="32"/>
      <c r="AG6" s="32"/>
      <c r="AH6" s="37"/>
      <c r="AI6" s="74" t="s">
        <v>65</v>
      </c>
      <c r="AJ6" s="36">
        <f>AJ4*AJ5</f>
        <v>68900</v>
      </c>
      <c r="AK6" s="36">
        <f>AK4*AK5</f>
        <v>317000</v>
      </c>
      <c r="AL6" s="37"/>
      <c r="AM6" s="107"/>
      <c r="AN6" s="107"/>
      <c r="AO6" s="37"/>
      <c r="AP6" s="108"/>
      <c r="AR6" t="s">
        <v>58</v>
      </c>
      <c r="AS6" s="109">
        <v>0.38800000000000001</v>
      </c>
    </row>
    <row r="7" spans="1:48" ht="18">
      <c r="B7" s="29" t="s">
        <v>29</v>
      </c>
      <c r="C7" s="83">
        <v>1</v>
      </c>
      <c r="D7" s="83">
        <v>1</v>
      </c>
      <c r="E7" s="14">
        <v>1</v>
      </c>
      <c r="F7" s="14">
        <v>0.95</v>
      </c>
      <c r="G7" s="14">
        <v>0.95</v>
      </c>
      <c r="H7" s="14">
        <v>0.5</v>
      </c>
      <c r="I7" s="14">
        <v>0.75</v>
      </c>
      <c r="J7" s="14">
        <v>0.65</v>
      </c>
      <c r="K7" s="14">
        <v>1</v>
      </c>
      <c r="L7" s="14">
        <v>0.3</v>
      </c>
      <c r="M7" s="14">
        <v>0.6</v>
      </c>
      <c r="N7" s="14">
        <v>0.7</v>
      </c>
      <c r="O7" s="29" t="s">
        <v>29</v>
      </c>
      <c r="P7" s="14">
        <v>1</v>
      </c>
      <c r="Q7" s="14">
        <v>1</v>
      </c>
      <c r="R7" s="39">
        <v>1</v>
      </c>
      <c r="S7" s="14"/>
      <c r="T7" s="14"/>
      <c r="U7" s="14"/>
      <c r="V7" s="14">
        <v>1</v>
      </c>
      <c r="W7" s="39">
        <v>1</v>
      </c>
      <c r="X7" s="14">
        <v>1</v>
      </c>
      <c r="Y7" s="39">
        <v>1</v>
      </c>
      <c r="Z7" s="39"/>
      <c r="AA7" s="39"/>
      <c r="AC7" s="3"/>
      <c r="AD7" s="33"/>
      <c r="AE7" s="3"/>
      <c r="AF7" s="3"/>
      <c r="AG7" s="3"/>
      <c r="AI7" s="4" t="s">
        <v>71</v>
      </c>
      <c r="AK7" s="68" t="s">
        <v>68</v>
      </c>
      <c r="AR7" s="134" t="s">
        <v>59</v>
      </c>
      <c r="AS7" s="134"/>
    </row>
    <row r="8" spans="1:48" ht="18">
      <c r="B8" s="48" t="s">
        <v>74</v>
      </c>
      <c r="C8" s="84">
        <v>320</v>
      </c>
      <c r="D8" s="84">
        <v>320</v>
      </c>
      <c r="E8" s="85">
        <v>300</v>
      </c>
      <c r="F8" s="85">
        <v>660</v>
      </c>
      <c r="G8" s="85">
        <v>550</v>
      </c>
      <c r="H8" s="86">
        <v>500</v>
      </c>
      <c r="I8" s="85">
        <v>450</v>
      </c>
      <c r="J8" s="87">
        <v>333</v>
      </c>
      <c r="K8" s="88">
        <v>0</v>
      </c>
      <c r="L8" s="87">
        <v>333</v>
      </c>
      <c r="M8" s="87">
        <v>333</v>
      </c>
      <c r="N8" s="85">
        <v>450</v>
      </c>
      <c r="O8" s="1"/>
      <c r="P8" s="89">
        <v>500</v>
      </c>
      <c r="Q8" s="133">
        <v>800</v>
      </c>
      <c r="R8" s="91">
        <v>800</v>
      </c>
      <c r="V8" s="90">
        <v>700</v>
      </c>
      <c r="W8" s="91">
        <v>700</v>
      </c>
      <c r="X8" s="92">
        <v>900</v>
      </c>
      <c r="Y8" s="91">
        <v>900</v>
      </c>
      <c r="AC8" s="3"/>
      <c r="AD8" s="5"/>
      <c r="AE8" s="3"/>
      <c r="AF8" s="3"/>
      <c r="AG8" s="3"/>
      <c r="AI8" s="99"/>
      <c r="AJ8" s="100" t="s">
        <v>37</v>
      </c>
      <c r="AK8" s="100"/>
      <c r="AM8" s="135" t="s">
        <v>69</v>
      </c>
      <c r="AN8" s="135"/>
      <c r="AO8" s="135"/>
      <c r="AP8" s="135"/>
      <c r="AR8" s="4" t="s">
        <v>54</v>
      </c>
      <c r="AS8" s="4" t="s">
        <v>54</v>
      </c>
    </row>
    <row r="9" spans="1:48">
      <c r="C9" s="136" t="s">
        <v>18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P9" s="137" t="s">
        <v>42</v>
      </c>
      <c r="Q9" s="137"/>
      <c r="R9" s="137"/>
      <c r="S9" s="137"/>
      <c r="T9" s="50"/>
      <c r="U9" s="50"/>
      <c r="V9" s="50"/>
      <c r="W9" s="50"/>
      <c r="X9" s="50"/>
      <c r="Y9" s="50"/>
      <c r="Z9" s="138" t="s">
        <v>51</v>
      </c>
      <c r="AA9" s="138"/>
      <c r="AB9" s="5"/>
      <c r="AC9" s="49" t="s">
        <v>0</v>
      </c>
      <c r="AD9" s="50" t="s">
        <v>1</v>
      </c>
      <c r="AE9" s="5" t="s">
        <v>2</v>
      </c>
      <c r="AF9" s="49" t="s">
        <v>3</v>
      </c>
      <c r="AG9" s="50" t="s">
        <v>4</v>
      </c>
      <c r="AH9" s="4"/>
      <c r="AI9" s="4"/>
      <c r="AJ9" s="6" t="s">
        <v>34</v>
      </c>
      <c r="AK9" s="6" t="s">
        <v>35</v>
      </c>
      <c r="AL9" s="4"/>
      <c r="AM9" s="19"/>
      <c r="AN9" s="19"/>
      <c r="AO9" s="4" t="s">
        <v>39</v>
      </c>
      <c r="AP9" s="6"/>
      <c r="AR9" s="4" t="s">
        <v>55</v>
      </c>
      <c r="AS9" s="4" t="s">
        <v>56</v>
      </c>
    </row>
    <row r="10" spans="1:48" ht="45">
      <c r="B10" s="6" t="s">
        <v>62</v>
      </c>
      <c r="C10" s="93" t="s">
        <v>6</v>
      </c>
      <c r="D10" s="94" t="s">
        <v>5</v>
      </c>
      <c r="E10" s="93" t="s">
        <v>7</v>
      </c>
      <c r="F10" s="93" t="s">
        <v>28</v>
      </c>
      <c r="G10" s="93" t="s">
        <v>27</v>
      </c>
      <c r="H10" s="93" t="s">
        <v>31</v>
      </c>
      <c r="I10" s="93" t="s">
        <v>32</v>
      </c>
      <c r="J10" s="93" t="s">
        <v>33</v>
      </c>
      <c r="K10" s="93" t="s">
        <v>8</v>
      </c>
      <c r="L10" s="93" t="s">
        <v>9</v>
      </c>
      <c r="M10" s="93" t="s">
        <v>30</v>
      </c>
      <c r="N10" s="93" t="s">
        <v>10</v>
      </c>
      <c r="O10" s="9" t="s">
        <v>62</v>
      </c>
      <c r="P10" s="94" t="s">
        <v>11</v>
      </c>
      <c r="Q10" s="94" t="s">
        <v>44</v>
      </c>
      <c r="R10" s="94" t="s">
        <v>12</v>
      </c>
      <c r="S10" s="94" t="s">
        <v>13</v>
      </c>
      <c r="T10" s="94" t="s">
        <v>14</v>
      </c>
      <c r="U10" s="94" t="s">
        <v>15</v>
      </c>
      <c r="V10" s="94" t="s">
        <v>43</v>
      </c>
      <c r="W10" s="95" t="s">
        <v>52</v>
      </c>
      <c r="X10" s="94" t="s">
        <v>22</v>
      </c>
      <c r="Y10" s="95" t="s">
        <v>41</v>
      </c>
      <c r="Z10" s="97" t="s">
        <v>47</v>
      </c>
      <c r="AA10" s="97" t="s">
        <v>46</v>
      </c>
      <c r="AB10" s="6"/>
      <c r="AC10" s="29" t="s">
        <v>16</v>
      </c>
      <c r="AD10" s="5" t="s">
        <v>16</v>
      </c>
      <c r="AE10" s="29" t="s">
        <v>16</v>
      </c>
      <c r="AF10" s="3" t="s">
        <v>17</v>
      </c>
      <c r="AG10" s="3" t="s">
        <v>17</v>
      </c>
      <c r="AI10" s="6" t="s">
        <v>66</v>
      </c>
      <c r="AJ10" s="4" t="s">
        <v>67</v>
      </c>
      <c r="AK10" s="4" t="s">
        <v>67</v>
      </c>
      <c r="AM10" s="20" t="s">
        <v>25</v>
      </c>
      <c r="AN10" s="20" t="s">
        <v>26</v>
      </c>
      <c r="AO10" s="6" t="s">
        <v>38</v>
      </c>
      <c r="AP10" s="6" t="s">
        <v>26</v>
      </c>
      <c r="AR10" s="6" t="s">
        <v>53</v>
      </c>
      <c r="AS10" s="6" t="s">
        <v>57</v>
      </c>
    </row>
    <row r="11" spans="1:48">
      <c r="A11" s="4" t="s">
        <v>79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>4000+4000</f>
        <v>8000</v>
      </c>
      <c r="L11">
        <v>0</v>
      </c>
      <c r="M11">
        <v>0</v>
      </c>
      <c r="N11">
        <v>0</v>
      </c>
      <c r="O11" s="8">
        <v>1</v>
      </c>
      <c r="P11">
        <v>0</v>
      </c>
      <c r="Q11">
        <v>2000</v>
      </c>
      <c r="R11" s="8">
        <v>0</v>
      </c>
      <c r="S11">
        <v>20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128">
        <v>0</v>
      </c>
      <c r="Z11" s="128">
        <v>0</v>
      </c>
      <c r="AA11" s="111"/>
      <c r="AC11" s="10">
        <f t="shared" ref="AC11:AC41" si="0">SUM(C11:N11)</f>
        <v>8000</v>
      </c>
      <c r="AD11" s="34">
        <f>P11+Q11+R11+S11+V11+(W11*$W$2)+X11+Y11+Z11</f>
        <v>2020</v>
      </c>
      <c r="AE11" s="10">
        <f t="shared" ref="AE11:AE41" si="1">SUM(AC11:AD11)</f>
        <v>10020</v>
      </c>
      <c r="AF11" s="72">
        <f t="shared" ref="AF11:AF41" si="2">(AC11*100)/AE11</f>
        <v>79.840319361277452</v>
      </c>
      <c r="AG11" s="72">
        <f t="shared" ref="AG11:AG41" si="3">(AD11*100)/AE11</f>
        <v>20.159680638722556</v>
      </c>
      <c r="AI11" s="70">
        <f>((C11*8.34*$C$7*($C$3/100))*($C$4/100))+(('Jan''16'!C11*8.34*$D$7*($D$3/100))*($D$4/100))+ ((E11*8.34*$E$7*($E$3/100))*($E$4/100))+((F11*8.34*$F$7*($F$3/100))*($F$4/100))+ ((G11*8.34*$G$7*($G$3/100))*($G$4/100))+((H11*8.34*$H$7*($H$3/100))*($H$4/100))+ ((I11*8.34*$I$7*($I$3/100))*($I$4/100))+((J11*8.34*$J$7*($J$3/100))*($J$4/100))+ ((K11*8.34*$K$7*($K$3/100))*($K$4/100))+((L11*8.34*$L$7*($L$3/100))*($L$4/100))+ ((M11*8.34*$M$7*($M$3/100))*($M$4/100))+((N11*8.34*$N$7*($N$3/100))*($N$4/100))+ ((P11*8.34*$P$7*($P$3/100))*($P$4/100))+((Q11*8.34*$Q$7*($Q$3/100))*($Q$4/100))+
((R11*8.34*$R$7*($R$3/100))*($R$4/100))+((S11*8.34*$S$7*($S$3/100))*($S$4/100))+
((V11*8.34*$V$7*($V$3/100))*($V$4/100))+(((W11*$W$2)*8.34*$W$7*($W$3/100))*($W$4/100))+
((X11*8.34*$X$7*($X$3/100))*($X$4/100))+((Y11*8.34*$Y$7*($Y$3/100))*($Y$4/100))</f>
        <v>9951.5048399999996</v>
      </c>
      <c r="AJ11" s="17">
        <f t="shared" ref="AJ11:AJ41" si="4">AI11/$AJ$6</f>
        <v>0.14443403251088532</v>
      </c>
      <c r="AK11" s="17">
        <f t="shared" ref="AK11:AK41" si="5">AI11/$AK$6</f>
        <v>3.1392759747634065E-2</v>
      </c>
      <c r="AM11" s="102">
        <f>((((C11*8.34*$C$7*($C$3/100))*($C$4/100))/($C$5+$C$6))*$C$5)
+(((('Jan''16'!C11*8.34*$D$7*($D$3/100))*($D$4/100))/($D$5+$D$6))*$D$5)
+((((E11*8.34*$E$7*($E$3/100))*($E$4/100))/($E$5+$E$6))*$E$5)
+((((F11*8.34*$F$7*($F$3/100))*($F$4/100))/($F$5+$F$6))*$F$5)
+((((G11*8.34*$G$7*($G$3/100))*($G$4/100))/($G$5+$G$6))*$G$5)
+((((H11*8.34*$H$7*($H$3/100))*($H$4/100))/($H$5+$H$6))*$H$5)
+((((I11*8.34*$I$7*($I$3/100))*($I$4/100))/($I$5+$I$6))*$I$5)
+((((J11*8.34*$J$7*($J$3/100))*($J$4/100))/($J$5+$J$6))*$J$5)
+((((K11*8.34*$K$7*($K$3/100))*($K$4/100))/($K$5+$K$6))*$K$5)
+((((L11*8.34*$L$7*($L$3/100))*($L$4/100))/($L$5+$L$6))*$L$5)
+((((M11*8.34*$M$7*($M$3/100))*($M$4/100))/($M$5+$M$6))*$M$5)
+((((N11*8.34*$N$7*($N$3/100))*($N$4/100))/($N$5+$N$6))*$N$5)
+((((P11*8.34*$P$7*($P$3/100))*($P$4/100))/($P$5+$P$6))*$P$5)
+((((Q11*8.34*$Q$7*($Q$3/100))*($Q$4/100))/($Q$5+$Q$6))*$Q$5)
+((((R11*8.34*$R$7*($R$3/100))*($R$4/100))/($R$5+$R$6))*$R$5)
+((((V11*8.34*$V$7*($V$3/100))*($V$4/100))/($V$5+$V$6))*$V$5)
+(((((W11*$W$2)*8.34*$W$7*($W$3/100))*($W$4/100))/($W$5+$W$6))*$W$5)
+((((X11*8.34*$X$7*($X$3/100))*($X$4/100))/($X$5+$X$6))*$X$5)
+((((Y11*8.34*$Y$7*($Y$3/100))*($Y$4/100))/($Y$5+$Y$6))*$Y$5)</f>
        <v>9435.6063158228535</v>
      </c>
      <c r="AN11" s="102">
        <f>((((C11*8.34*$C$7*($C$3/100))*($C$4/100))/($C$5+$C$6))*$C$6)
+(((('Jan''16'!C11*8.34*$D$7*($D$3/100))*($D$4/100))/($D$5+$D$6))*$D$6)
+((((E11*8.34*$E$7*($E$3/100))*($E$4/100))/($E$5+$E$6))*$E$6)
+((((F11*8.34*$F$7*($F$3/100))*($F$4/100))/($F$5+$F$6))*$F$6)
+((((G11*8.34*$G$7*($G$3/100))*($G$4/100))/($G$5+$G$6))*$G$6)
+((((H11*8.34*$H$7*($H$3/100))*($H$4/100))/($H$5+$H$6))*$H$6)
+((((I11*8.34*$I$7*($I$3/100))*($I$4/100))/($I$5+$I$6))*$I$6)
+((((J11*8.34*$J$7*($J$3/100))*($J$4/100))/($J$5+$J$6))*$J$6)
+((((K11*8.34*$K$7*($K$3/100))*($K$4/100))/($K$5+$K$6))*$K$6)
+((((L11*8.34*$L$7*($L$3/100))*($L$4/100))/($L$5+$L$6))*$L$6)
+((((M11*8.34*$M$7*($M$3/100))*($M$4/100))/($M$5+$M$6))*$M$6)
+((((N11*8.34*$N$7*($N$3/100))*($N$4/100))/($N$5+$N$6))*$N$6)
+((((P11*8.34*$P$7*($P$3/100))*($P$4/100))/($P$5+$P$6))*$P$6)
+((((Q11*8.34*$Q$7*($Q$3/100))*($Q$4/100))/($Q$5+$Q$6))*$Q$6)
+((((R11*8.34*$R$7*($R$3/100))*($R$4/100))/($R$5+$R$6))*$R$6)
+((((V11*8.34*$V$7*($V$3/100))*($V$4/100))/($V$5+$V$6))*$V$6)
+(((((W11*$W$2) *8.34*$W$7*($W$3/100))*($W$4/100))/($W$5+$W$6))*$W$6)
+((((X11*8.34*$X$7*($X$3/100))*($X$4/100))/($X$5+$X$6))*$X$6)
+((((Y11*8.34*$Y$7*($Y$3/100))*($Y$4/100))/($Y$5+$Y$6))*$Y$6)</f>
        <v>515.89852417714746</v>
      </c>
      <c r="AO11" s="46">
        <f>((AM11+AN11)/AN11)-1</f>
        <v>18.289655569130662</v>
      </c>
      <c r="AP11" s="68">
        <v>1</v>
      </c>
      <c r="AR11" s="18">
        <f>(C11*($C$3/100)*($C$4/100)*$C$7*8.34*0.000453592*$C$8)+
('Jan''16'!C11*($D$3/100)*($D$4/100)*$D$7*8.34*0.000453592*$D$8)+
(E11*($E$3/100)*($E$4/100)*$E$7*8.34*0.000453592*$E$8)+
(F11*($F$3/100)*($F$4/100)*$F$7*8.34*0.000453592*$F$8)+
(G11*($G$3/100)*($G$4/100)*$G$7*8.34*0.000453592*$G$8)+
(H11*($H$3/100)*($H$4/100)*$H$7*8.34*0.000453592*$H$8)+
(I11*($I$3/100)*($I$4/100)*$I$7*8.34*0.000453592*$I$8)+
(J11*($J$3/100)*($J$4/100)*$J$7*8.34*0.000453592*$J$8)+
(K11*($K$3/100)*($K$4/100)*$K$7*8.34*0.000453592*$K$8)+
(L11*($L$3/100)*($L$4/100)*$L$7*8.34*0.000453592*$L$8)+
(M11*($M$3/100)*($M$4/100)*$M$7*8.34*0.000453592*$M$8)+
(N11*($N$3/100)*($N$4/100)*$N$7*8.34*0.000453592*$N$8)+
(P11*($P$3/100)*($P$4/100)*$P$7*8.34*0.000453592*$P$8)+
(Q11*($Q$3/100)*($Q$4/100)*$Q$7*8.34*0.000453592*$Q$8)+
(R11*($R$3/100)*($R$4/100)*$R$7*8.34*0.000453592*$R$8)+
(V11*($V$3/100)*($V$4/100)*$V$7*8.34*0.000453592*$V$8)+
(W11*$W$2*($W$3/100)*($BW$4/100)*$W$7*8.34*0.000453592*$W$8)+
(X11*($X$3/100)*($X$4/100)*$X$7*8.34*0.000453592*$X$8)+
(Y11*($Y$3/100)*($Y$4/100)*$Y$7*8.34*0.000453592*$Y$8)</f>
        <v>2853.9234993484802</v>
      </c>
      <c r="AS11" s="18">
        <f>AR11*$AS$3*10*$AS$6</f>
        <v>6643.933906483262</v>
      </c>
      <c r="AV11" s="40"/>
    </row>
    <row r="12" spans="1:48">
      <c r="B12">
        <v>2</v>
      </c>
      <c r="C12">
        <v>4000</v>
      </c>
      <c r="D12">
        <v>2000</v>
      </c>
      <c r="E12">
        <v>0</v>
      </c>
      <c r="F12">
        <v>1300</v>
      </c>
      <c r="G12">
        <v>0</v>
      </c>
      <c r="H12">
        <v>0</v>
      </c>
      <c r="I12">
        <v>0</v>
      </c>
      <c r="J12">
        <v>0</v>
      </c>
      <c r="K12">
        <f>4000+4000+2000</f>
        <v>10000</v>
      </c>
      <c r="L12">
        <v>0</v>
      </c>
      <c r="M12">
        <v>0</v>
      </c>
      <c r="N12">
        <v>0</v>
      </c>
      <c r="O12" s="8">
        <v>2</v>
      </c>
      <c r="P12">
        <f>400+4000</f>
        <v>4400</v>
      </c>
      <c r="Q12">
        <v>2000</v>
      </c>
      <c r="R12" s="8">
        <v>0</v>
      </c>
      <c r="S12">
        <v>10</v>
      </c>
      <c r="T12" s="8">
        <v>0</v>
      </c>
      <c r="U12" s="8">
        <v>0</v>
      </c>
      <c r="V12" s="8">
        <v>0</v>
      </c>
      <c r="W12">
        <v>18</v>
      </c>
      <c r="X12" s="8">
        <v>0</v>
      </c>
      <c r="Y12" s="130">
        <v>0</v>
      </c>
      <c r="Z12" s="130">
        <v>0</v>
      </c>
      <c r="AA12" s="113"/>
      <c r="AC12" s="10">
        <f t="shared" si="0"/>
        <v>17300</v>
      </c>
      <c r="AD12" s="34">
        <f>P12+Q12+R12+S12+V12+(W12*$W$2)+X12+Y12+Z12</f>
        <v>7058</v>
      </c>
      <c r="AE12" s="10">
        <f t="shared" si="1"/>
        <v>24358</v>
      </c>
      <c r="AF12" s="72">
        <f t="shared" si="2"/>
        <v>71.023893587322434</v>
      </c>
      <c r="AG12" s="72">
        <f t="shared" si="3"/>
        <v>28.976106412677559</v>
      </c>
      <c r="AI12" s="70">
        <f>((C12*8.34*$C$7*($C$3/100))*($C$4/100))+(('Jan''16'!C12*8.34*$D$7*($D$3/100))*($D$4/100))+ ((E12*8.34*$E$7*($E$3/100))*($E$4/100))+((F12*8.34*$F$7*($F$3/100))*($F$4/100))+ ((G12*8.34*$G$7*($G$3/100))*($G$4/100))+((H12*8.34*$H$7*($H$3/100))*($H$4/100))+ ((I12*8.34*$I$7*($I$3/100))*($I$4/100))+((J12*8.34*$J$7*($J$3/100))*($J$4/100))+ ((K12*8.34*$K$7*($K$3/100))*($K$4/100))+((L12*8.34*$L$7*($L$3/100))*($L$4/100))+ ((M12*8.34*$M$7*($M$3/100))*($M$4/100))+((N12*8.34*$N$7*($N$3/100))*($N$4/100))+ ((P12*8.34*$P$7*($P$3/100))*($P$4/100))+((Q12*8.34*$Q$7*($Q$3/100))*($Q$4/100))+
((R12*8.34*$R$7*($R$3/100))*($R$4/100))+((S12*8.34*$S$7*($S$3/100))*($S$4/100))+
((V12*8.34*$V$7*($V$3/100))*($V$4/100))+(((W12*$W$2)*8.34*$W$7*($W$3/100))*($W$4/100))+
((X12*8.34*$X$7*($X$3/100))*($X$4/100))+((Y12*8.34*$Y$7*($Y$3/100))*($Y$4/100))</f>
        <v>18696.707910000005</v>
      </c>
      <c r="AJ12" s="17">
        <f t="shared" si="4"/>
        <v>0.27136005674891156</v>
      </c>
      <c r="AK12" s="17">
        <f t="shared" si="5"/>
        <v>5.8980151135646704E-2</v>
      </c>
      <c r="AM12" s="102">
        <f>((((C12*8.34*$C$7*($C$3/100))*($C$4/100))/($C$5+$C$6))*$C$5)
+(((('Jan''16'!C12*8.34*$D$7*($D$3/100))*($D$4/100))/($D$5+$D$6))*$D$5)
+((((E12*8.34*$E$7*($E$3/100))*($E$4/100))/($E$5+$E$6))*$E$5)
+((((F12*8.34*$F$7*($F$3/100))*($F$4/100))/($F$5+$F$6))*$F$5)
+((((G12*8.34*$G$7*($G$3/100))*($G$4/100))/($G$5+$G$6))*$G$5)
+((((H12*8.34*$H$7*($H$3/100))*($H$4/100))/($H$5+$H$6))*$H$5)
+((((I12*8.34*$I$7*($I$3/100))*($I$4/100))/($I$5+$I$6))*$I$5)
+((((J12*8.34*$J$7*($J$3/100))*($J$4/100))/($J$5+$J$6))*$J$5)
+((((K12*8.34*$K$7*($K$3/100))*($K$4/100))/($K$5+$K$6))*$K$5)
+((((L12*8.34*$L$7*($L$3/100))*($L$4/100))/($L$5+$L$6))*$L$5)
+((((M12*8.34*$M$7*($M$3/100))*($M$4/100))/($M$5+$M$6))*$M$5)
+((((N12*8.34*$N$7*($N$3/100))*($N$4/100))/($N$5+$N$6))*$N$5)
+((((P12*8.34*$P$7*($P$3/100))*($P$4/100))/($P$5+$P$6))*$P$5)
+((((Q12*8.34*$Q$7*($Q$3/100))*($Q$4/100))/($Q$5+$Q$6))*$Q$5)
+((((R12*8.34*$R$7*($R$3/100))*($R$4/100))/($R$5+$R$6))*$R$5)
+((((V12*8.34*$V$7*($V$3/100))*($V$4/100))/($V$5+$V$6))*$V$5)
+(((((W12*$W$2)*8.34*$W$7*($W$3/100))*($W$4/100))/($W$5+$W$6))*$W$5)
+((((X12*8.34*$X$7*($X$3/100))*($X$4/100))/($X$5+$X$6))*$X$5)
+((((Y12*8.34*$Y$7*($Y$3/100))*($Y$4/100))/($Y$5+$Y$6))*$Y$5)</f>
        <v>17583.902977649766</v>
      </c>
      <c r="AN12" s="102">
        <f>((((C12*8.34*$C$7*($C$3/100))*($C$4/100))/($C$5+$C$6))*$C$6)
+(((('Jan''16'!C12*8.34*$D$7*($D$3/100))*($D$4/100))/($D$5+$D$6))*$D$6)
+((((E12*8.34*$E$7*($E$3/100))*($E$4/100))/($E$5+$E$6))*$E$6)
+((((F12*8.34*$F$7*($F$3/100))*($F$4/100))/($F$5+$F$6))*$F$6)
+((((G12*8.34*$G$7*($G$3/100))*($G$4/100))/($G$5+$G$6))*$G$6)
+((((H12*8.34*$H$7*($H$3/100))*($H$4/100))/($H$5+$H$6))*$H$6)
+((((I12*8.34*$I$7*($I$3/100))*($I$4/100))/($I$5+$I$6))*$I$6)
+((((J12*8.34*$J$7*($J$3/100))*($J$4/100))/($J$5+$J$6))*$J$6)
+((((K12*8.34*$K$7*($K$3/100))*($K$4/100))/($K$5+$K$6))*$K$6)
+((((L12*8.34*$L$7*($L$3/100))*($L$4/100))/($L$5+$L$6))*$L$6)
+((((M12*8.34*$M$7*($M$3/100))*($M$4/100))/($M$5+$M$6))*$M$6)
+((((N12*8.34*$N$7*($N$3/100))*($N$4/100))/($N$5+$N$6))*$N$6)
+((((P12*8.34*$P$7*($P$3/100))*($P$4/100))/($P$5+$P$6))*$P$6)
+((((Q12*8.34*$Q$7*($Q$3/100))*($Q$4/100))/($Q$5+$Q$6))*$Q$6)
+((((R12*8.34*$R$7*($R$3/100))*($R$4/100))/($R$5+$R$6))*$R$6)
+((((V12*8.34*$V$7*($V$3/100))*($V$4/100))/($V$5+$V$6))*$V$6)
+(((((W12*$W$2) *8.34*$W$7*($W$3/100))*($W$4/100))/($W$5+$W$6))*$W$6)
+((((X12*8.34*$X$7*($X$3/100))*($X$4/100))/($X$5+$X$6))*$X$6)
+((((Y12*8.34*$Y$7*($Y$3/100))*($Y$4/100))/($Y$5+$Y$6))*$Y$6)</f>
        <v>1112.8049323502337</v>
      </c>
      <c r="AO12" s="46">
        <f t="shared" ref="AO12:AO41" si="6">((AM12+AN12)/AN12)-1</f>
        <v>15.801424370498367</v>
      </c>
      <c r="AP12" s="68">
        <v>1</v>
      </c>
      <c r="AR12" s="18">
        <f>(C12*($C$3/100)*($C$4/100)*$C$7*8.34*0.000453592*$C$8)+
('Jan''16'!C12*($D$3/100)*($D$4/100)*$D$7*8.34*0.000453592*$D$8)+
(E12*($E$3/100)*($E$4/100)*$E$7*8.34*0.000453592*$E$8)+
(F12*($F$3/100)*($F$4/100)*$F$7*8.34*0.000453592*$F$8)+
(G12*($G$3/100)*($G$4/100)*$G$7*8.34*0.000453592*$G$8)+
(H12*($H$3/100)*($H$4/100)*$H$7*8.34*0.000453592*$H$8)+
(I12*($I$3/100)*($I$4/100)*$I$7*8.34*0.000453592*$I$8)+
(J12*($J$3/100)*($J$4/100)*$J$7*8.34*0.000453592*$J$8)+
(K12*($K$3/100)*($K$4/100)*$K$7*8.34*0.000453592*$K$8)+
(L12*($L$3/100)*($L$4/100)*$L$7*8.34*0.000453592*$L$8)+
(M12*($M$3/100)*($M$4/100)*$M$7*8.34*0.000453592*$M$8)+
(N12*($N$3/100)*($N$4/100)*$N$7*8.34*0.000453592*$N$8)+
(P12*($P$3/100)*($P$4/100)*$P$7*8.34*0.000453592*$P$8)+
(Q12*($Q$3/100)*($Q$4/100)*$Q$7*8.34*0.000453592*$Q$8)+
(R12*($R$3/100)*($R$4/100)*$R$7*8.34*0.000453592*$R$8)+
(V12*($V$3/100)*($V$4/100)*$V$7*8.34*0.000453592*$V$8)+
(W12*$W$2*($W$3/100)*($BW$4/100)*$W$7*8.34*0.000453592*$W$8)+
(X12*($X$3/100)*($X$4/100)*$X$7*8.34*0.000453592*$X$8)+
(Y12*($Y$3/100)*($Y$4/100)*$Y$7*8.34*0.000453592*$Y$8)</f>
        <v>4517.0862544332431</v>
      </c>
      <c r="AS12" s="18">
        <f t="shared" ref="AS12:AS41" si="7">AR12*$AS$3*10*$AS$6</f>
        <v>10515.776800320591</v>
      </c>
      <c r="AV12" s="40"/>
    </row>
    <row r="13" spans="1:48">
      <c r="B13">
        <v>3</v>
      </c>
      <c r="C13">
        <v>4000</v>
      </c>
      <c r="D13">
        <v>2000</v>
      </c>
      <c r="E13">
        <v>1200</v>
      </c>
      <c r="F13">
        <v>0</v>
      </c>
      <c r="G13">
        <v>0</v>
      </c>
      <c r="H13">
        <v>0</v>
      </c>
      <c r="I13">
        <v>0</v>
      </c>
      <c r="J13">
        <v>0</v>
      </c>
      <c r="K13">
        <f>4000+4000</f>
        <v>8000</v>
      </c>
      <c r="L13">
        <v>0</v>
      </c>
      <c r="M13">
        <v>0</v>
      </c>
      <c r="N13">
        <v>0</v>
      </c>
      <c r="O13" s="8">
        <v>3</v>
      </c>
      <c r="P13">
        <v>900</v>
      </c>
      <c r="Q13">
        <v>1500</v>
      </c>
      <c r="R13" s="8">
        <v>0</v>
      </c>
      <c r="S13">
        <v>25</v>
      </c>
      <c r="T13" s="8">
        <v>0</v>
      </c>
      <c r="U13" s="8">
        <v>0</v>
      </c>
      <c r="V13">
        <v>3550</v>
      </c>
      <c r="W13">
        <v>15</v>
      </c>
      <c r="X13">
        <v>325</v>
      </c>
      <c r="Y13" s="129">
        <v>0</v>
      </c>
      <c r="Z13" s="129">
        <v>0</v>
      </c>
      <c r="AA13" s="113"/>
      <c r="AC13" s="10">
        <f t="shared" si="0"/>
        <v>15200</v>
      </c>
      <c r="AD13" s="34">
        <f t="shared" ref="AD13:AD41" si="8">P13+Q13+R13+S13+V13+(W13*$W$2)+X13+Y13+Z13</f>
        <v>6840</v>
      </c>
      <c r="AE13" s="10">
        <f t="shared" si="1"/>
        <v>22040</v>
      </c>
      <c r="AF13" s="72">
        <f t="shared" si="2"/>
        <v>68.965517241379317</v>
      </c>
      <c r="AG13" s="72">
        <f t="shared" si="3"/>
        <v>31.03448275862069</v>
      </c>
      <c r="AI13" s="70">
        <f>((C13*8.34*$C$7*($C$3/100))*($C$4/100))+(('Jan''16'!C13*8.34*$D$7*($D$3/100))*($D$4/100))+ ((E13*8.34*$E$7*($E$3/100))*($E$4/100))+((F13*8.34*$F$7*($F$3/100))*($F$4/100))+ ((G13*8.34*$G$7*($G$3/100))*($G$4/100))+((H13*8.34*$H$7*($H$3/100))*($H$4/100))+ ((I13*8.34*$I$7*($I$3/100))*($I$4/100))+((J13*8.34*$J$7*($J$3/100))*($J$4/100))+ ((K13*8.34*$K$7*($K$3/100))*($K$4/100))+((L13*8.34*$L$7*($L$3/100))*($L$4/100))+ ((M13*8.34*$M$7*($M$3/100))*($M$4/100))+((N13*8.34*$N$7*($N$3/100))*($N$4/100))+ ((P13*8.34*$P$7*($P$3/100))*($P$4/100))+((Q13*8.34*$Q$7*($Q$3/100))*($Q$4/100))+
((R13*8.34*$R$7*($R$3/100))*($R$4/100))+((S13*8.34*$S$7*($S$3/100))*($S$4/100))+
((V13*8.34*$V$7*($V$3/100))*($V$4/100))+(((W13*$W$2)*8.34*$W$7*($W$3/100))*($W$4/100))+
((X13*8.34*$X$7*($X$3/100))*($X$4/100))+((Y13*8.34*$Y$7*($Y$3/100))*($Y$4/100))</f>
        <v>15649.43454</v>
      </c>
      <c r="AJ13" s="17">
        <f t="shared" si="4"/>
        <v>0.22713257677793905</v>
      </c>
      <c r="AK13" s="17">
        <f t="shared" si="5"/>
        <v>4.9367301388012617E-2</v>
      </c>
      <c r="AM13" s="102">
        <f>((((C13*8.34*$C$7*($C$3/100))*($C$4/100))/($C$5+$C$6))*$C$5)
+(((('Jan''16'!C13*8.34*$D$7*($D$3/100))*($D$4/100))/($D$5+$D$6))*$D$5)
+((((E13*8.34*$E$7*($E$3/100))*($E$4/100))/($E$5+$E$6))*$E$5)
+((((F13*8.34*$F$7*($F$3/100))*($F$4/100))/($F$5+$F$6))*$F$5)
+((((G13*8.34*$G$7*($G$3/100))*($G$4/100))/($G$5+$G$6))*$G$5)
+((((H13*8.34*$H$7*($H$3/100))*($H$4/100))/($H$5+$H$6))*$H$5)
+((((I13*8.34*$I$7*($I$3/100))*($I$4/100))/($I$5+$I$6))*$I$5)
+((((J13*8.34*$J$7*($J$3/100))*($J$4/100))/($J$5+$J$6))*$J$5)
+((((K13*8.34*$K$7*($K$3/100))*($K$4/100))/($K$5+$K$6))*$K$5)
+((((L13*8.34*$L$7*($L$3/100))*($L$4/100))/($L$5+$L$6))*$L$5)
+((((M13*8.34*$M$7*($M$3/100))*($M$4/100))/($M$5+$M$6))*$M$5)
+((((N13*8.34*$N$7*($N$3/100))*($N$4/100))/($N$5+$N$6))*$N$5)
+((((P13*8.34*$P$7*($P$3/100))*($P$4/100))/($P$5+$P$6))*$P$5)
+((((Q13*8.34*$Q$7*($Q$3/100))*($Q$4/100))/($Q$5+$Q$6))*$Q$5)
+((((R13*8.34*$R$7*($R$3/100))*($R$4/100))/($R$5+$R$6))*$R$5)
+((((V13*8.34*$V$7*($V$3/100))*($V$4/100))/($V$5+$V$6))*$V$5)
+(((((W13*$W$2)*8.34*$W$7*($W$3/100))*($W$4/100))/($W$5+$W$6))*$W$5)
+((((X13*8.34*$X$7*($X$3/100))*($X$4/100))/($X$5+$X$6))*$X$5)
+((((Y13*8.34*$Y$7*($Y$3/100))*($Y$4/100))/($Y$5+$Y$6))*$Y$5)</f>
        <v>14752.443431664438</v>
      </c>
      <c r="AN13" s="102">
        <f>((((C13*8.34*$C$7*($C$3/100))*($C$4/100))/($C$5+$C$6))*$C$6)
+(((('Jan''16'!C13*8.34*$D$7*($D$3/100))*($D$4/100))/($D$5+$D$6))*$D$6)
+((((E13*8.34*$E$7*($E$3/100))*($E$4/100))/($E$5+$E$6))*$E$6)
+((((F13*8.34*$F$7*($F$3/100))*($F$4/100))/($F$5+$F$6))*$F$6)
+((((G13*8.34*$G$7*($G$3/100))*($G$4/100))/($G$5+$G$6))*$G$6)
+((((H13*8.34*$H$7*($H$3/100))*($H$4/100))/($H$5+$H$6))*$H$6)
+((((I13*8.34*$I$7*($I$3/100))*($I$4/100))/($I$5+$I$6))*$I$6)
+((((J13*8.34*$J$7*($J$3/100))*($J$4/100))/($J$5+$J$6))*$J$6)
+((((K13*8.34*$K$7*($K$3/100))*($K$4/100))/($K$5+$K$6))*$K$6)
+((((L13*8.34*$L$7*($L$3/100))*($L$4/100))/($L$5+$L$6))*$L$6)
+((((M13*8.34*$M$7*($M$3/100))*($M$4/100))/($M$5+$M$6))*$M$6)
+((((N13*8.34*$N$7*($N$3/100))*($N$4/100))/($N$5+$N$6))*$N$6)
+((((P13*8.34*$P$7*($P$3/100))*($P$4/100))/($P$5+$P$6))*$P$6)
+((((Q13*8.34*$Q$7*($Q$3/100))*($Q$4/100))/($Q$5+$Q$6))*$Q$6)
+((((R13*8.34*$R$7*($R$3/100))*($R$4/100))/($R$5+$R$6))*$R$6)
+((((V13*8.34*$V$7*($V$3/100))*($V$4/100))/($V$5+$V$6))*$V$6)
+(((((W13*$W$2) *8.34*$W$7*($W$3/100))*($W$4/100))/($W$5+$W$6))*$W$6)
+((((X13*8.34*$X$7*($X$3/100))*($X$4/100))/($X$5+$X$6))*$X$6)
+((((Y13*8.34*$Y$7*($Y$3/100))*($Y$4/100))/($Y$5+$Y$6))*$Y$6)</f>
        <v>896.99110833556324</v>
      </c>
      <c r="AO13" s="46">
        <f t="shared" si="6"/>
        <v>16.446588259987042</v>
      </c>
      <c r="AP13" s="68">
        <v>1</v>
      </c>
      <c r="AR13" s="18">
        <f>(C13*($C$3/100)*($C$4/100)*$C$7*8.34*0.000453592*$C$8)+
('Jan''16'!C13*($D$3/100)*($D$4/100)*$D$7*8.34*0.000453592*$D$8)+
(E13*($E$3/100)*($E$4/100)*$E$7*8.34*0.000453592*$E$8)+
(F13*($F$3/100)*($F$4/100)*$F$7*8.34*0.000453592*$F$8)+
(G13*($G$3/100)*($G$4/100)*$G$7*8.34*0.000453592*$G$8)+
(H13*($H$3/100)*($H$4/100)*$H$7*8.34*0.000453592*$H$8)+
(I13*($I$3/100)*($I$4/100)*$I$7*8.34*0.000453592*$I$8)+
(J13*($J$3/100)*($J$4/100)*$J$7*8.34*0.000453592*$J$8)+
(K13*($K$3/100)*($K$4/100)*$K$7*8.34*0.000453592*$K$8)+
(L13*($L$3/100)*($L$4/100)*$L$7*8.34*0.000453592*$L$8)+
(M13*($M$3/100)*($M$4/100)*$M$7*8.34*0.000453592*$M$8)+
(N13*($N$3/100)*($N$4/100)*$N$7*8.34*0.000453592*$N$8)+
(P13*($P$3/100)*($P$4/100)*$P$7*8.34*0.000453592*$P$8)+
(Q13*($Q$3/100)*($Q$4/100)*$Q$7*8.34*0.000453592*$Q$8)+
(R13*($R$3/100)*($R$4/100)*$R$7*8.34*0.000453592*$R$8)+
(V13*($V$3/100)*($V$4/100)*$V$7*8.34*0.000453592*$V$8)+
(W13*$W$2*($W$3/100)*($BW$4/100)*$W$7*8.34*0.000453592*$W$8)+
(X13*($X$3/100)*($X$4/100)*$X$7*8.34*0.000453592*$X$8)+
(Y13*($Y$3/100)*($Y$4/100)*$Y$7*8.34*0.000453592*$Y$8)</f>
        <v>3526.4935826810402</v>
      </c>
      <c r="AS13" s="18">
        <f t="shared" si="7"/>
        <v>8209.677060481461</v>
      </c>
      <c r="AV13" s="40"/>
    </row>
    <row r="14" spans="1:48">
      <c r="B14">
        <v>4</v>
      </c>
      <c r="C14">
        <v>4000</v>
      </c>
      <c r="D14">
        <v>2000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4000</v>
      </c>
      <c r="L14">
        <v>0</v>
      </c>
      <c r="M14">
        <v>0</v>
      </c>
      <c r="N14">
        <v>0</v>
      </c>
      <c r="O14" s="8">
        <v>4</v>
      </c>
      <c r="P14">
        <v>1000</v>
      </c>
      <c r="Q14">
        <v>2000</v>
      </c>
      <c r="R14" s="8">
        <v>0</v>
      </c>
      <c r="S14">
        <v>25</v>
      </c>
      <c r="T14" s="8">
        <v>0</v>
      </c>
      <c r="U14" s="8">
        <v>0</v>
      </c>
      <c r="V14">
        <v>3550</v>
      </c>
      <c r="W14">
        <v>17</v>
      </c>
      <c r="X14">
        <v>0</v>
      </c>
      <c r="Y14" s="129">
        <v>0</v>
      </c>
      <c r="Z14" s="129">
        <v>0</v>
      </c>
      <c r="AA14" s="113"/>
      <c r="AC14" s="10">
        <f t="shared" si="0"/>
        <v>10000</v>
      </c>
      <c r="AD14" s="34">
        <f t="shared" si="8"/>
        <v>7187</v>
      </c>
      <c r="AE14" s="10">
        <f t="shared" si="1"/>
        <v>17187</v>
      </c>
      <c r="AF14" s="72">
        <f t="shared" si="2"/>
        <v>58.183510793041251</v>
      </c>
      <c r="AG14" s="72">
        <f t="shared" si="3"/>
        <v>41.816489206958749</v>
      </c>
      <c r="AI14" s="70">
        <f>((C14*8.34*$C$7*($C$3/100))*($C$4/100))+(('Jan''16'!C14*8.34*$D$7*($D$3/100))*($D$4/100))+ ((E14*8.34*$E$7*($E$3/100))*($E$4/100))+((F14*8.34*$F$7*($F$3/100))*($F$4/100))+ ((G14*8.34*$G$7*($G$3/100))*($G$4/100))+((H14*8.34*$H$7*($H$3/100))*($H$4/100))+ ((I14*8.34*$I$7*($I$3/100))*($I$4/100))+((J14*8.34*$J$7*($J$3/100))*($J$4/100))+ ((K14*8.34*$K$7*($K$3/100))*($K$4/100))+((L14*8.34*$L$7*($L$3/100))*($L$4/100))+ ((M14*8.34*$M$7*($M$3/100))*($M$4/100))+((N14*8.34*$N$7*($N$3/100))*($N$4/100))+ ((P14*8.34*$P$7*($P$3/100))*($P$4/100))+((Q14*8.34*$Q$7*($Q$3/100))*($Q$4/100))+
((R14*8.34*$R$7*($R$3/100))*($R$4/100))+((S14*8.34*$S$7*($S$3/100))*($S$4/100))+
((V14*8.34*$V$7*($V$3/100))*($V$4/100))+(((W14*$W$2)*8.34*$W$7*($W$3/100))*($W$4/100))+
((X14*8.34*$X$7*($X$3/100))*($X$4/100))+((Y14*8.34*$Y$7*($Y$3/100))*($Y$4/100))</f>
        <v>14986.671419999999</v>
      </c>
      <c r="AJ14" s="17">
        <f t="shared" si="4"/>
        <v>0.21751337329462989</v>
      </c>
      <c r="AK14" s="17">
        <f t="shared" si="5"/>
        <v>4.7276565993690844E-2</v>
      </c>
      <c r="AM14" s="102">
        <f>((((C14*8.34*$C$7*($C$3/100))*($C$4/100))/($C$5+$C$6))*$C$5)
+(((('Jan''16'!C14*8.34*$D$7*($D$3/100))*($D$4/100))/($D$5+$D$6))*$D$5)
+((((E14*8.34*$E$7*($E$3/100))*($E$4/100))/($E$5+$E$6))*$E$5)
+((((F14*8.34*$F$7*($F$3/100))*($F$4/100))/($F$5+$F$6))*$F$5)
+((((G14*8.34*$G$7*($G$3/100))*($G$4/100))/($G$5+$G$6))*$G$5)
+((((H14*8.34*$H$7*($H$3/100))*($H$4/100))/($H$5+$H$6))*$H$5)
+((((I14*8.34*$I$7*($I$3/100))*($I$4/100))/($I$5+$I$6))*$I$5)
+((((J14*8.34*$J$7*($J$3/100))*($J$4/100))/($J$5+$J$6))*$J$5)
+((((K14*8.34*$K$7*($K$3/100))*($K$4/100))/($K$5+$K$6))*$K$5)
+((((L14*8.34*$L$7*($L$3/100))*($L$4/100))/($L$5+$L$6))*$L$5)
+((((M14*8.34*$M$7*($M$3/100))*($M$4/100))/($M$5+$M$6))*$M$5)
+((((N14*8.34*$N$7*($N$3/100))*($N$4/100))/($N$5+$N$6))*$N$5)
+((((P14*8.34*$P$7*($P$3/100))*($P$4/100))/($P$5+$P$6))*$P$5)
+((((Q14*8.34*$Q$7*($Q$3/100))*($Q$4/100))/($Q$5+$Q$6))*$Q$5)
+((((R14*8.34*$R$7*($R$3/100))*($R$4/100))/($R$5+$R$6))*$R$5)
+((((V14*8.34*$V$7*($V$3/100))*($V$4/100))/($V$5+$V$6))*$V$5)
+(((((W14*$W$2)*8.34*$W$7*($W$3/100))*($W$4/100))/($W$5+$W$6))*$W$5)
+((((X14*8.34*$X$7*($X$3/100))*($X$4/100))/($X$5+$X$6))*$X$5)
+((((Y14*8.34*$Y$7*($Y$3/100))*($Y$4/100))/($Y$5+$Y$6))*$Y$5)</f>
        <v>14347.331986942543</v>
      </c>
      <c r="AN14" s="102">
        <f>((((C14*8.34*$C$7*($C$3/100))*($C$4/100))/($C$5+$C$6))*$C$6)
+(((('Jan''16'!C14*8.34*$D$7*($D$3/100))*($D$4/100))/($D$5+$D$6))*$D$6)
+((((E14*8.34*$E$7*($E$3/100))*($E$4/100))/($E$5+$E$6))*$E$6)
+((((F14*8.34*$F$7*($F$3/100))*($F$4/100))/($F$5+$F$6))*$F$6)
+((((G14*8.34*$G$7*($G$3/100))*($G$4/100))/($G$5+$G$6))*$G$6)
+((((H14*8.34*$H$7*($H$3/100))*($H$4/100))/($H$5+$H$6))*$H$6)
+((((I14*8.34*$I$7*($I$3/100))*($I$4/100))/($I$5+$I$6))*$I$6)
+((((J14*8.34*$J$7*($J$3/100))*($J$4/100))/($J$5+$J$6))*$J$6)
+((((K14*8.34*$K$7*($K$3/100))*($K$4/100))/($K$5+$K$6))*$K$6)
+((((L14*8.34*$L$7*($L$3/100))*($L$4/100))/($L$5+$L$6))*$L$6)
+((((M14*8.34*$M$7*($M$3/100))*($M$4/100))/($M$5+$M$6))*$M$6)
+((((N14*8.34*$N$7*($N$3/100))*($N$4/100))/($N$5+$N$6))*$N$6)
+((((P14*8.34*$P$7*($P$3/100))*($P$4/100))/($P$5+$P$6))*$P$6)
+((((Q14*8.34*$Q$7*($Q$3/100))*($Q$4/100))/($Q$5+$Q$6))*$Q$6)
+((((R14*8.34*$R$7*($R$3/100))*($R$4/100))/($R$5+$R$6))*$R$6)
+((((V14*8.34*$V$7*($V$3/100))*($V$4/100))/($V$5+$V$6))*$V$6)
+(((((W14*$W$2) *8.34*$W$7*($W$3/100))*($W$4/100))/($W$5+$W$6))*$W$6)
+((((X14*8.34*$X$7*($X$3/100))*($X$4/100))/($X$5+$X$6))*$X$6)
+((((Y14*8.34*$Y$7*($Y$3/100))*($Y$4/100))/($Y$5+$Y$6))*$Y$6)</f>
        <v>639.3394330574564</v>
      </c>
      <c r="AO14" s="46">
        <f t="shared" si="6"/>
        <v>22.44086825417692</v>
      </c>
      <c r="AP14" s="68">
        <v>1</v>
      </c>
      <c r="AR14" s="18">
        <f>(C14*($C$3/100)*($C$4/100)*$C$7*8.34*0.000453592*$C$8)+
('Jan''16'!C14*($D$3/100)*($D$4/100)*$D$7*8.34*0.000453592*$D$8)+
(E14*($E$3/100)*($E$4/100)*$E$7*8.34*0.000453592*$E$8)+
(F14*($F$3/100)*($F$4/100)*$F$7*8.34*0.000453592*$F$8)+
(G14*($G$3/100)*($G$4/100)*$G$7*8.34*0.000453592*$G$8)+
(H14*($H$3/100)*($H$4/100)*$H$7*8.34*0.000453592*$H$8)+
(I14*($I$3/100)*($I$4/100)*$I$7*8.34*0.000453592*$I$8)+
(J14*($J$3/100)*($J$4/100)*$J$7*8.34*0.000453592*$J$8)+
(K14*($K$3/100)*($K$4/100)*$K$7*8.34*0.000453592*$K$8)+
(L14*($L$3/100)*($L$4/100)*$L$7*8.34*0.000453592*$L$8)+
(M14*($M$3/100)*($M$4/100)*$M$7*8.34*0.000453592*$M$8)+
(N14*($N$3/100)*($N$4/100)*$N$7*8.34*0.000453592*$N$8)+
(P14*($P$3/100)*($P$4/100)*$P$7*8.34*0.000453592*$P$8)+
(Q14*($Q$3/100)*($Q$4/100)*$Q$7*8.34*0.000453592*$Q$8)+
(R14*($R$3/100)*($R$4/100)*$R$7*8.34*0.000453592*$R$8)+
(V14*($V$3/100)*($V$4/100)*$V$7*8.34*0.000453592*$V$8)+
(W14*$W$2*($W$3/100)*($BW$4/100)*$W$7*8.34*0.000453592*$W$8)+
(X14*($X$3/100)*($X$4/100)*$X$7*8.34*0.000453592*$X$8)+
(Y14*($Y$3/100)*($Y$4/100)*$Y$7*8.34*0.000453592*$Y$8)</f>
        <v>3885.2881659026402</v>
      </c>
      <c r="AS14" s="18">
        <f t="shared" si="7"/>
        <v>9044.9508502213466</v>
      </c>
      <c r="AV14" s="40"/>
    </row>
    <row r="15" spans="1:48">
      <c r="A15" t="s">
        <v>80</v>
      </c>
      <c r="B15">
        <v>5</v>
      </c>
      <c r="C15" s="24">
        <v>4000</v>
      </c>
      <c r="D15" s="25">
        <v>2000</v>
      </c>
      <c r="E15" s="25">
        <v>1000</v>
      </c>
      <c r="F15" s="26">
        <v>1100</v>
      </c>
      <c r="G15" s="76">
        <v>0</v>
      </c>
      <c r="H15" s="76">
        <v>0</v>
      </c>
      <c r="I15" s="76">
        <v>0</v>
      </c>
      <c r="J15" s="76">
        <v>0</v>
      </c>
      <c r="K15" s="25">
        <f>2000+2000+2000</f>
        <v>6000</v>
      </c>
      <c r="L15" s="76">
        <v>0</v>
      </c>
      <c r="M15" s="76">
        <v>0</v>
      </c>
      <c r="N15" s="76">
        <v>0</v>
      </c>
      <c r="O15" s="8">
        <v>5</v>
      </c>
      <c r="P15" s="80">
        <v>0</v>
      </c>
      <c r="Q15" s="25">
        <v>300</v>
      </c>
      <c r="R15" s="76">
        <v>0</v>
      </c>
      <c r="S15" s="25">
        <v>25</v>
      </c>
      <c r="T15" s="76">
        <v>0</v>
      </c>
      <c r="U15" s="76">
        <v>0</v>
      </c>
      <c r="V15" s="25">
        <f>300+500</f>
        <v>800</v>
      </c>
      <c r="W15" s="30">
        <v>18</v>
      </c>
      <c r="X15" s="78">
        <v>0</v>
      </c>
      <c r="Y15" s="76">
        <v>0</v>
      </c>
      <c r="Z15" s="76">
        <v>0</v>
      </c>
      <c r="AA15" s="44"/>
      <c r="AC15" s="10">
        <f t="shared" si="0"/>
        <v>14100</v>
      </c>
      <c r="AD15" s="34">
        <f t="shared" si="8"/>
        <v>1773</v>
      </c>
      <c r="AE15" s="10">
        <f t="shared" si="1"/>
        <v>15873</v>
      </c>
      <c r="AF15" s="72">
        <f t="shared" si="2"/>
        <v>88.830088830088826</v>
      </c>
      <c r="AG15" s="72">
        <f t="shared" si="3"/>
        <v>11.16991116991117</v>
      </c>
      <c r="AI15" s="70">
        <f>((C15*8.34*$C$7*($C$3/100))*($C$4/100))+(('Jan''16'!C15*8.34*$D$7*($D$3/100))*($D$4/100))+ ((E15*8.34*$E$7*($E$3/100))*($E$4/100))+((F15*8.34*$F$7*($F$3/100))*($F$4/100))+ ((G15*8.34*$G$7*($G$3/100))*($G$4/100))+((H15*8.34*$H$7*($H$3/100))*($H$4/100))+ ((I15*8.34*$I$7*($I$3/100))*($I$4/100))+((J15*8.34*$J$7*($J$3/100))*($J$4/100))+ ((K15*8.34*$K$7*($K$3/100))*($K$4/100))+((L15*8.34*$L$7*($L$3/100))*($L$4/100))+ ((M15*8.34*$M$7*($M$3/100))*($M$4/100))+((N15*8.34*$N$7*($N$3/100))*($N$4/100))+ ((P15*8.34*$P$7*($P$3/100))*($P$4/100))+((Q15*8.34*$Q$7*($Q$3/100))*($Q$4/100))+
((R15*8.34*$R$7*($R$3/100))*($R$4/100))+((S15*8.34*$S$7*($S$3/100))*($S$4/100))+
((V15*8.34*$V$7*($V$3/100))*($V$4/100))+(((W15*$W$2)*8.34*$W$7*($W$3/100))*($W$4/100))+
((X15*8.34*$X$7*($X$3/100))*($X$4/100))+((Y15*8.34*$Y$7*($Y$3/100))*($Y$4/100))</f>
        <v>11335.66545</v>
      </c>
      <c r="AJ15" s="17">
        <f t="shared" si="4"/>
        <v>0.16452344629898405</v>
      </c>
      <c r="AK15" s="17">
        <f t="shared" si="5"/>
        <v>3.5759197003154573E-2</v>
      </c>
      <c r="AM15" s="102">
        <f>((((C15*8.34*$C$7*($C$3/100))*($C$4/100))/($C$5+$C$6))*$C$5)
+(((('Jan''16'!C15*8.34*$D$7*($D$3/100))*($D$4/100))/($D$5+$D$6))*$D$5)
+((((E15*8.34*$E$7*($E$3/100))*($E$4/100))/($E$5+$E$6))*$E$5)
+((((F15*8.34*$F$7*($F$3/100))*($F$4/100))/($F$5+$F$6))*$F$5)
+((((G15*8.34*$G$7*($G$3/100))*($G$4/100))/($G$5+$G$6))*$G$5)
+((((H15*8.34*$H$7*($H$3/100))*($H$4/100))/($H$5+$H$6))*$H$5)
+((((I15*8.34*$I$7*($I$3/100))*($I$4/100))/($I$5+$I$6))*$I$5)
+((((J15*8.34*$J$7*($J$3/100))*($J$4/100))/($J$5+$J$6))*$J$5)
+((((K15*8.34*$K$7*($K$3/100))*($K$4/100))/($K$5+$K$6))*$K$5)
+((((L15*8.34*$L$7*($L$3/100))*($L$4/100))/($L$5+$L$6))*$L$5)
+((((M15*8.34*$M$7*($M$3/100))*($M$4/100))/($M$5+$M$6))*$M$5)
+((((N15*8.34*$N$7*($N$3/100))*($N$4/100))/($N$5+$N$6))*$N$5)
+((((P15*8.34*$P$7*($P$3/100))*($P$4/100))/($P$5+$P$6))*$P$5)
+((((Q15*8.34*$Q$7*($Q$3/100))*($Q$4/100))/($Q$5+$Q$6))*$Q$5)
+((((R15*8.34*$R$7*($R$3/100))*($R$4/100))/($R$5+$R$6))*$R$5)
+((((V15*8.34*$V$7*($V$3/100))*($V$4/100))/($V$5+$V$6))*$V$5)
+(((((W15*$W$2)*8.34*$W$7*($W$3/100))*($W$4/100))/($W$5+$W$6))*$W$5)
+((((X15*8.34*$X$7*($X$3/100))*($X$4/100))/($X$5+$X$6))*$X$5)
+((((Y15*8.34*$Y$7*($Y$3/100))*($Y$4/100))/($Y$5+$Y$6))*$Y$5)</f>
        <v>10652.510704791122</v>
      </c>
      <c r="AN15" s="102">
        <f>((((C15*8.34*$C$7*($C$3/100))*($C$4/100))/($C$5+$C$6))*$C$6)
+(((('Jan''16'!C15*8.34*$D$7*($D$3/100))*($D$4/100))/($D$5+$D$6))*$D$6)
+((((E15*8.34*$E$7*($E$3/100))*($E$4/100))/($E$5+$E$6))*$E$6)
+((((F15*8.34*$F$7*($F$3/100))*($F$4/100))/($F$5+$F$6))*$F$6)
+((((G15*8.34*$G$7*($G$3/100))*($G$4/100))/($G$5+$G$6))*$G$6)
+((((H15*8.34*$H$7*($H$3/100))*($H$4/100))/($H$5+$H$6))*$H$6)
+((((I15*8.34*$I$7*($I$3/100))*($I$4/100))/($I$5+$I$6))*$I$6)
+((((J15*8.34*$J$7*($J$3/100))*($J$4/100))/($J$5+$J$6))*$J$6)
+((((K15*8.34*$K$7*($K$3/100))*($K$4/100))/($K$5+$K$6))*$K$6)
+((((L15*8.34*$L$7*($L$3/100))*($L$4/100))/($L$5+$L$6))*$L$6)
+((((M15*8.34*$M$7*($M$3/100))*($M$4/100))/($M$5+$M$6))*$M$6)
+((((N15*8.34*$N$7*($N$3/100))*($N$4/100))/($N$5+$N$6))*$N$6)
+((((P15*8.34*$P$7*($P$3/100))*($P$4/100))/($P$5+$P$6))*$P$6)
+((((Q15*8.34*$Q$7*($Q$3/100))*($Q$4/100))/($Q$5+$Q$6))*$Q$6)
+((((R15*8.34*$R$7*($R$3/100))*($R$4/100))/($R$5+$R$6))*$R$6)
+((((V15*8.34*$V$7*($V$3/100))*($V$4/100))/($V$5+$V$6))*$V$6)
+(((((W15*$W$2) *8.34*$W$7*($W$3/100))*($W$4/100))/($W$5+$W$6))*$W$6)
+((((X15*8.34*$X$7*($X$3/100))*($X$4/100))/($X$5+$X$6))*$X$6)
+((((Y15*8.34*$Y$7*($Y$3/100))*($Y$4/100))/($Y$5+$Y$6))*$Y$6)</f>
        <v>683.15474520887756</v>
      </c>
      <c r="AO15" s="46">
        <f t="shared" si="6"/>
        <v>15.59311529269122</v>
      </c>
      <c r="AP15" s="68">
        <v>1</v>
      </c>
      <c r="AR15" s="18">
        <f>(C15*($C$3/100)*($C$4/100)*$C$7*8.34*0.000453592*$C$8)+
('Jan''16'!C15*($D$3/100)*($D$4/100)*$D$7*8.34*0.000453592*$D$8)+
(E15*($E$3/100)*($E$4/100)*$E$7*8.34*0.000453592*$E$8)+
(F15*($F$3/100)*($F$4/100)*$F$7*8.34*0.000453592*$F$8)+
(G15*($G$3/100)*($G$4/100)*$G$7*8.34*0.000453592*$G$8)+
(H15*($H$3/100)*($H$4/100)*$H$7*8.34*0.000453592*$H$8)+
(I15*($I$3/100)*($I$4/100)*$I$7*8.34*0.000453592*$I$8)+
(J15*($J$3/100)*($J$4/100)*$J$7*8.34*0.000453592*$J$8)+
(K15*($K$3/100)*($K$4/100)*$K$7*8.34*0.000453592*$K$8)+
(L15*($L$3/100)*($L$4/100)*$L$7*8.34*0.000453592*$L$8)+
(M15*($M$3/100)*($M$4/100)*$M$7*8.34*0.000453592*$M$8)+
(N15*($N$3/100)*($N$4/100)*$N$7*8.34*0.000453592*$N$8)+
(P15*($P$3/100)*($P$4/100)*$P$7*8.34*0.000453592*$P$8)+
(Q15*($Q$3/100)*($Q$4/100)*$Q$7*8.34*0.000453592*$Q$8)+
(R15*($R$3/100)*($R$4/100)*$R$7*8.34*0.000453592*$R$8)+
(V15*($V$3/100)*($V$4/100)*$V$7*8.34*0.000453592*$V$8)+
(W15*$W$2*($W$3/100)*($BW$4/100)*$W$7*8.34*0.000453592*$W$8)+
(X15*($X$3/100)*($X$4/100)*$X$7*8.34*0.000453592*$X$8)+
(Y15*($Y$3/100)*($Y$4/100)*$Y$7*8.34*0.000453592*$Y$8)</f>
        <v>2020.9009096563507</v>
      </c>
      <c r="AS15" s="18">
        <f t="shared" si="7"/>
        <v>4704.6573176799848</v>
      </c>
      <c r="AV15" s="40"/>
    </row>
    <row r="16" spans="1:48">
      <c r="A16" t="s">
        <v>87</v>
      </c>
      <c r="B16">
        <v>6</v>
      </c>
      <c r="C16" s="24">
        <v>4000</v>
      </c>
      <c r="D16" s="25">
        <v>2000</v>
      </c>
      <c r="E16" s="78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25">
        <f>2000+2000+2000</f>
        <v>6000</v>
      </c>
      <c r="L16" s="76">
        <v>0</v>
      </c>
      <c r="M16" s="76">
        <v>0</v>
      </c>
      <c r="N16" s="76">
        <v>0</v>
      </c>
      <c r="O16" s="8">
        <v>6</v>
      </c>
      <c r="P16" s="24">
        <f>800+4000</f>
        <v>4800</v>
      </c>
      <c r="Q16" s="25">
        <v>2000</v>
      </c>
      <c r="R16" s="76">
        <v>0</v>
      </c>
      <c r="S16" s="25">
        <v>25</v>
      </c>
      <c r="T16" s="76">
        <v>0</v>
      </c>
      <c r="U16" s="76">
        <v>0</v>
      </c>
      <c r="V16" s="78">
        <v>0</v>
      </c>
      <c r="W16" s="30">
        <v>2</v>
      </c>
      <c r="X16" s="25">
        <f>3*325</f>
        <v>975</v>
      </c>
      <c r="Y16" s="76">
        <v>0</v>
      </c>
      <c r="Z16" s="76">
        <v>0</v>
      </c>
      <c r="AA16" s="44"/>
      <c r="AC16" s="10">
        <f t="shared" si="0"/>
        <v>12000</v>
      </c>
      <c r="AD16" s="34">
        <f t="shared" si="8"/>
        <v>7872</v>
      </c>
      <c r="AE16" s="10">
        <f t="shared" si="1"/>
        <v>19872</v>
      </c>
      <c r="AF16" s="72">
        <f t="shared" si="2"/>
        <v>60.386473429951693</v>
      </c>
      <c r="AG16" s="72">
        <f t="shared" si="3"/>
        <v>39.613526570048307</v>
      </c>
      <c r="AI16" s="70">
        <f>((C16*8.34*$C$7*($C$3/100))*($C$4/100))+(('Jan''16'!C16*8.34*$D$7*($D$3/100))*($D$4/100))+ ((E16*8.34*$E$7*($E$3/100))*($E$4/100))+((F16*8.34*$F$7*($F$3/100))*($F$4/100))+ ((G16*8.34*$G$7*($G$3/100))*($G$4/100))+((H16*8.34*$H$7*($H$3/100))*($H$4/100))+ ((I16*8.34*$I$7*($I$3/100))*($I$4/100))+((J16*8.34*$J$7*($J$3/100))*($J$4/100))+ ((K16*8.34*$K$7*($K$3/100))*($K$4/100))+((L16*8.34*$L$7*($L$3/100))*($L$4/100))+ ((M16*8.34*$M$7*($M$3/100))*($M$4/100))+((N16*8.34*$N$7*($N$3/100))*($N$4/100))+ ((P16*8.34*$P$7*($P$3/100))*($P$4/100))+((Q16*8.34*$Q$7*($Q$3/100))*($Q$4/100))+
((R16*8.34*$R$7*($R$3/100))*($R$4/100))+((S16*8.34*$S$7*($S$3/100))*($S$4/100))+
((V16*8.34*$V$7*($V$3/100))*($V$4/100))+(((W16*$W$2)*8.34*$W$7*($W$3/100))*($W$4/100))+
((X16*8.34*$X$7*($X$3/100))*($X$4/100))+((Y16*8.34*$Y$7*($Y$3/100))*($Y$4/100))</f>
        <v>14436.389880000001</v>
      </c>
      <c r="AJ16" s="17">
        <f t="shared" si="4"/>
        <v>0.20952670362844703</v>
      </c>
      <c r="AK16" s="17">
        <f t="shared" si="5"/>
        <v>4.5540662082018929E-2</v>
      </c>
      <c r="AM16" s="102">
        <f>((((C16*8.34*$C$7*($C$3/100))*($C$4/100))/($C$5+$C$6))*$C$5)
+(((('Jan''16'!C16*8.34*$D$7*($D$3/100))*($D$4/100))/($D$5+$D$6))*$D$5)
+((((E16*8.34*$E$7*($E$3/100))*($E$4/100))/($E$5+$E$6))*$E$5)
+((((F16*8.34*$F$7*($F$3/100))*($F$4/100))/($F$5+$F$6))*$F$5)
+((((G16*8.34*$G$7*($G$3/100))*($G$4/100))/($G$5+$G$6))*$G$5)
+((((H16*8.34*$H$7*($H$3/100))*($H$4/100))/($H$5+$H$6))*$H$5)
+((((I16*8.34*$I$7*($I$3/100))*($I$4/100))/($I$5+$I$6))*$I$5)
+((((J16*8.34*$J$7*($J$3/100))*($J$4/100))/($J$5+$J$6))*$J$5)
+((((K16*8.34*$K$7*($K$3/100))*($K$4/100))/($K$5+$K$6))*$K$5)
+((((L16*8.34*$L$7*($L$3/100))*($L$4/100))/($L$5+$L$6))*$L$5)
+((((M16*8.34*$M$7*($M$3/100))*($M$4/100))/($M$5+$M$6))*$M$5)
+((((N16*8.34*$N$7*($N$3/100))*($N$4/100))/($N$5+$N$6))*$N$5)
+((((P16*8.34*$P$7*($P$3/100))*($P$4/100))/($P$5+$P$6))*$P$5)
+((((Q16*8.34*$Q$7*($Q$3/100))*($Q$4/100))/($Q$5+$Q$6))*$Q$5)
+((((R16*8.34*$R$7*($R$3/100))*($R$4/100))/($R$5+$R$6))*$R$5)
+((((V16*8.34*$V$7*($V$3/100))*($V$4/100))/($V$5+$V$6))*$V$5)
+(((((W16*$W$2)*8.34*$W$7*($W$3/100))*($W$4/100))/($W$5+$W$6))*$W$5)
+((((X16*8.34*$X$7*($X$3/100))*($X$4/100))/($X$5+$X$6))*$X$5)
+((((Y16*8.34*$Y$7*($Y$3/100))*($Y$4/100))/($Y$5+$Y$6))*$Y$5)</f>
        <v>13597.542244239841</v>
      </c>
      <c r="AN16" s="102">
        <f>((((C16*8.34*$C$7*($C$3/100))*($C$4/100))/($C$5+$C$6))*$C$6)
+(((('Jan''16'!C16*8.34*$D$7*($D$3/100))*($D$4/100))/($D$5+$D$6))*$D$6)
+((((E16*8.34*$E$7*($E$3/100))*($E$4/100))/($E$5+$E$6))*$E$6)
+((((F16*8.34*$F$7*($F$3/100))*($F$4/100))/($F$5+$F$6))*$F$6)
+((((G16*8.34*$G$7*($G$3/100))*($G$4/100))/($G$5+$G$6))*$G$6)
+((((H16*8.34*$H$7*($H$3/100))*($H$4/100))/($H$5+$H$6))*$H$6)
+((((I16*8.34*$I$7*($I$3/100))*($I$4/100))/($I$5+$I$6))*$I$6)
+((((J16*8.34*$J$7*($J$3/100))*($J$4/100))/($J$5+$J$6))*$J$6)
+((((K16*8.34*$K$7*($K$3/100))*($K$4/100))/($K$5+$K$6))*$K$6)
+((((L16*8.34*$L$7*($L$3/100))*($L$4/100))/($L$5+$L$6))*$L$6)
+((((M16*8.34*$M$7*($M$3/100))*($M$4/100))/($M$5+$M$6))*$M$6)
+((((N16*8.34*$N$7*($N$3/100))*($N$4/100))/($N$5+$N$6))*$N$6)
+((((P16*8.34*$P$7*($P$3/100))*($P$4/100))/($P$5+$P$6))*$P$6)
+((((Q16*8.34*$Q$7*($Q$3/100))*($Q$4/100))/($Q$5+$Q$6))*$Q$6)
+((((R16*8.34*$R$7*($R$3/100))*($R$4/100))/($R$5+$R$6))*$R$6)
+((((V16*8.34*$V$7*($V$3/100))*($V$4/100))/($V$5+$V$6))*$V$6)
+(((((W16*$W$2) *8.34*$W$7*($W$3/100))*($W$4/100))/($W$5+$W$6))*$W$6)
+((((X16*8.34*$X$7*($X$3/100))*($X$4/100))/($X$5+$X$6))*$X$6)
+((((Y16*8.34*$Y$7*($Y$3/100))*($Y$4/100))/($Y$5+$Y$6))*$Y$6)</f>
        <v>838.84763576015905</v>
      </c>
      <c r="AO16" s="46">
        <f t="shared" si="6"/>
        <v>16.209787885874917</v>
      </c>
      <c r="AP16" s="68">
        <v>1</v>
      </c>
      <c r="AR16" s="18">
        <f>(C16*($C$3/100)*($C$4/100)*$C$7*8.34*0.000453592*$C$8)+
('Jan''16'!C16*($D$3/100)*($D$4/100)*$D$7*8.34*0.000453592*$D$8)+
(E16*($E$3/100)*($E$4/100)*$E$7*8.34*0.000453592*$E$8)+
(F16*($F$3/100)*($F$4/100)*$F$7*8.34*0.000453592*$F$8)+
(G16*($G$3/100)*($G$4/100)*$G$7*8.34*0.000453592*$G$8)+
(H16*($H$3/100)*($H$4/100)*$H$7*8.34*0.000453592*$H$8)+
(I16*($I$3/100)*($I$4/100)*$I$7*8.34*0.000453592*$I$8)+
(J16*($J$3/100)*($J$4/100)*$J$7*8.34*0.000453592*$J$8)+
(K16*($K$3/100)*($K$4/100)*$K$7*8.34*0.000453592*$K$8)+
(L16*($L$3/100)*($L$4/100)*$L$7*8.34*0.000453592*$L$8)+
(M16*($M$3/100)*($M$4/100)*$M$7*8.34*0.000453592*$M$8)+
(N16*($N$3/100)*($N$4/100)*$N$7*8.34*0.000453592*$N$8)+
(P16*($P$3/100)*($P$4/100)*$P$7*8.34*0.000453592*$P$8)+
(Q16*($Q$3/100)*($Q$4/100)*$Q$7*8.34*0.000453592*$Q$8)+
(R16*($R$3/100)*($R$4/100)*$R$7*8.34*0.000453592*$R$8)+
(V16*($V$3/100)*($V$4/100)*$V$7*8.34*0.000453592*$V$8)+
(W16*$W$2*($W$3/100)*($BW$4/100)*$W$7*8.34*0.000453592*$W$8)+
(X16*($X$3/100)*($X$4/100)*$X$7*8.34*0.000453592*$X$8)+
(Y16*($Y$3/100)*($Y$4/100)*$Y$7*8.34*0.000453592*$Y$8)</f>
        <v>3851.6255205465604</v>
      </c>
      <c r="AS16" s="18">
        <f t="shared" si="7"/>
        <v>8966.5842118323926</v>
      </c>
      <c r="AV16" s="40"/>
    </row>
    <row r="17" spans="1:48">
      <c r="A17" t="s">
        <v>82</v>
      </c>
      <c r="B17">
        <v>7</v>
      </c>
      <c r="C17" s="24">
        <v>4000</v>
      </c>
      <c r="D17" s="25">
        <v>2000</v>
      </c>
      <c r="E17" s="78">
        <v>0</v>
      </c>
      <c r="F17" s="30">
        <v>1300</v>
      </c>
      <c r="G17" s="76">
        <v>0</v>
      </c>
      <c r="H17" s="76">
        <v>0</v>
      </c>
      <c r="I17" s="76">
        <v>0</v>
      </c>
      <c r="J17" s="76">
        <v>0</v>
      </c>
      <c r="K17" s="25">
        <f>2000*3</f>
        <v>6000</v>
      </c>
      <c r="L17" s="76">
        <v>0</v>
      </c>
      <c r="M17" s="76">
        <v>0</v>
      </c>
      <c r="N17" s="76">
        <v>0</v>
      </c>
      <c r="O17" s="8">
        <v>7</v>
      </c>
      <c r="P17" s="80">
        <v>0</v>
      </c>
      <c r="Q17" s="25">
        <v>2000</v>
      </c>
      <c r="R17" s="76">
        <v>0</v>
      </c>
      <c r="S17" s="25">
        <v>25</v>
      </c>
      <c r="T17" s="76">
        <v>0</v>
      </c>
      <c r="U17" s="76">
        <v>0</v>
      </c>
      <c r="V17" s="78">
        <v>0</v>
      </c>
      <c r="W17" s="76">
        <v>0</v>
      </c>
      <c r="X17" s="78">
        <v>0</v>
      </c>
      <c r="Y17" s="76">
        <v>0</v>
      </c>
      <c r="Z17" s="76">
        <v>0</v>
      </c>
      <c r="AA17" s="44"/>
      <c r="AC17" s="10">
        <f t="shared" si="0"/>
        <v>13300</v>
      </c>
      <c r="AD17" s="34">
        <f t="shared" si="8"/>
        <v>2025</v>
      </c>
      <c r="AE17" s="10">
        <f t="shared" si="1"/>
        <v>15325</v>
      </c>
      <c r="AF17" s="72">
        <f t="shared" si="2"/>
        <v>86.78629690048939</v>
      </c>
      <c r="AG17" s="72">
        <f t="shared" si="3"/>
        <v>13.213703099510603</v>
      </c>
      <c r="AI17" s="70">
        <f>((C17*8.34*$C$7*($C$3/100))*($C$4/100))+(('Jan''16'!C17*8.34*$D$7*($D$3/100))*($D$4/100))+ ((E17*8.34*$E$7*($E$3/100))*($E$4/100))+((F17*8.34*$F$7*($F$3/100))*($F$4/100))+ ((G17*8.34*$G$7*($G$3/100))*($G$4/100))+((H17*8.34*$H$7*($H$3/100))*($H$4/100))+ ((I17*8.34*$I$7*($I$3/100))*($I$4/100))+((J17*8.34*$J$7*($J$3/100))*($J$4/100))+ ((K17*8.34*$K$7*($K$3/100))*($K$4/100))+((L17*8.34*$L$7*($L$3/100))*($L$4/100))+ ((M17*8.34*$M$7*($M$3/100))*($M$4/100))+((N17*8.34*$N$7*($N$3/100))*($N$4/100))+ ((P17*8.34*$P$7*($P$3/100))*($P$4/100))+((Q17*8.34*$Q$7*($Q$3/100))*($Q$4/100))+
((R17*8.34*$R$7*($R$3/100))*($R$4/100))+((S17*8.34*$S$7*($S$3/100))*($S$4/100))+
((V17*8.34*$V$7*($V$3/100))*($V$4/100))+(((W17*$W$2)*8.34*$W$7*($W$3/100))*($W$4/100))+
((X17*8.34*$X$7*($X$3/100))*($X$4/100))+((Y17*8.34*$Y$7*($Y$3/100))*($Y$4/100))</f>
        <v>14922.79119</v>
      </c>
      <c r="AJ17" s="17">
        <f t="shared" si="4"/>
        <v>0.21658622917271408</v>
      </c>
      <c r="AK17" s="17">
        <f t="shared" si="5"/>
        <v>4.7075051072555205E-2</v>
      </c>
      <c r="AM17" s="102">
        <f>((((C17*8.34*$C$7*($C$3/100))*($C$4/100))/($C$5+$C$6))*$C$5)
+(((('Jan''16'!C17*8.34*$D$7*($D$3/100))*($D$4/100))/($D$5+$D$6))*$D$5)
+((((E17*8.34*$E$7*($E$3/100))*($E$4/100))/($E$5+$E$6))*$E$5)
+((((F17*8.34*$F$7*($F$3/100))*($F$4/100))/($F$5+$F$6))*$F$5)
+((((G17*8.34*$G$7*($G$3/100))*($G$4/100))/($G$5+$G$6))*$G$5)
+((((H17*8.34*$H$7*($H$3/100))*($H$4/100))/($H$5+$H$6))*$H$5)
+((((I17*8.34*$I$7*($I$3/100))*($I$4/100))/($I$5+$I$6))*$I$5)
+((((J17*8.34*$J$7*($J$3/100))*($J$4/100))/($J$5+$J$6))*$J$5)
+((((K17*8.34*$K$7*($K$3/100))*($K$4/100))/($K$5+$K$6))*$K$5)
+((((L17*8.34*$L$7*($L$3/100))*($L$4/100))/($L$5+$L$6))*$L$5)
+((((M17*8.34*$M$7*($M$3/100))*($M$4/100))/($M$5+$M$6))*$M$5)
+((((N17*8.34*$N$7*($N$3/100))*($N$4/100))/($N$5+$N$6))*$N$5)
+((((P17*8.34*$P$7*($P$3/100))*($P$4/100))/($P$5+$P$6))*$P$5)
+((((Q17*8.34*$Q$7*($Q$3/100))*($Q$4/100))/($Q$5+$Q$6))*$Q$5)
+((((R17*8.34*$R$7*($R$3/100))*($R$4/100))/($R$5+$R$6))*$R$5)
+((((V17*8.34*$V$7*($V$3/100))*($V$4/100))/($V$5+$V$6))*$V$5)
+(((((W17*$W$2)*8.34*$W$7*($W$3/100))*($W$4/100))/($W$5+$W$6))*$W$5)
+((((X17*8.34*$X$7*($X$3/100))*($X$4/100))/($X$5+$X$6))*$X$5)
+((((Y17*8.34*$Y$7*($Y$3/100))*($Y$4/100))/($Y$5+$Y$6))*$Y$5)</f>
        <v>14318.355948769458</v>
      </c>
      <c r="AN17" s="102">
        <f>((((C17*8.34*$C$7*($C$3/100))*($C$4/100))/($C$5+$C$6))*$C$6)
+(((('Jan''16'!C17*8.34*$D$7*($D$3/100))*($D$4/100))/($D$5+$D$6))*$D$6)
+((((E17*8.34*$E$7*($E$3/100))*($E$4/100))/($E$5+$E$6))*$E$6)
+((((F17*8.34*$F$7*($F$3/100))*($F$4/100))/($F$5+$F$6))*$F$6)
+((((G17*8.34*$G$7*($G$3/100))*($G$4/100))/($G$5+$G$6))*$G$6)
+((((H17*8.34*$H$7*($H$3/100))*($H$4/100))/($H$5+$H$6))*$H$6)
+((((I17*8.34*$I$7*($I$3/100))*($I$4/100))/($I$5+$I$6))*$I$6)
+((((J17*8.34*$J$7*($J$3/100))*($J$4/100))/($J$5+$J$6))*$J$6)
+((((K17*8.34*$K$7*($K$3/100))*($K$4/100))/($K$5+$K$6))*$K$6)
+((((L17*8.34*$L$7*($L$3/100))*($L$4/100))/($L$5+$L$6))*$L$6)
+((((M17*8.34*$M$7*($M$3/100))*($M$4/100))/($M$5+$M$6))*$M$6)
+((((N17*8.34*$N$7*($N$3/100))*($N$4/100))/($N$5+$N$6))*$N$6)
+((((P17*8.34*$P$7*($P$3/100))*($P$4/100))/($P$5+$P$6))*$P$6)
+((((Q17*8.34*$Q$7*($Q$3/100))*($Q$4/100))/($Q$5+$Q$6))*$Q$6)
+((((R17*8.34*$R$7*($R$3/100))*($R$4/100))/($R$5+$R$6))*$R$6)
+((((V17*8.34*$V$7*($V$3/100))*($V$4/100))/($V$5+$V$6))*$V$6)
+(((((W17*$W$2) *8.34*$W$7*($W$3/100))*($W$4/100))/($W$5+$W$6))*$W$6)
+((((X17*8.34*$X$7*($X$3/100))*($X$4/100))/($X$5+$X$6))*$X$6)
+((((Y17*8.34*$Y$7*($Y$3/100))*($Y$4/100))/($Y$5+$Y$6))*$Y$6)</f>
        <v>604.43524123054237</v>
      </c>
      <c r="AO17" s="46">
        <f t="shared" si="6"/>
        <v>23.688817216579505</v>
      </c>
      <c r="AP17" s="68">
        <v>1</v>
      </c>
      <c r="AR17" s="18">
        <f>(C17*($C$3/100)*($C$4/100)*$C$7*8.34*0.000453592*$C$8)+
('Jan''16'!C17*($D$3/100)*($D$4/100)*$D$7*8.34*0.000453592*$D$8)+
(E17*($E$3/100)*($E$4/100)*$E$7*8.34*0.000453592*$E$8)+
(F17*($F$3/100)*($F$4/100)*$F$7*8.34*0.000453592*$F$8)+
(G17*($G$3/100)*($G$4/100)*$G$7*8.34*0.000453592*$G$8)+
(H17*($H$3/100)*($H$4/100)*$H$7*8.34*0.000453592*$H$8)+
(I17*($I$3/100)*($I$4/100)*$I$7*8.34*0.000453592*$I$8)+
(J17*($J$3/100)*($J$4/100)*$J$7*8.34*0.000453592*$J$8)+
(K17*($K$3/100)*($K$4/100)*$K$7*8.34*0.000453592*$K$8)+
(L17*($L$3/100)*($L$4/100)*$L$7*8.34*0.000453592*$L$8)+
(M17*($M$3/100)*($M$4/100)*$M$7*8.34*0.000453592*$M$8)+
(N17*($N$3/100)*($N$4/100)*$N$7*8.34*0.000453592*$N$8)+
(P17*($P$3/100)*($P$4/100)*$P$7*8.34*0.000453592*$P$8)+
(Q17*($Q$3/100)*($Q$4/100)*$Q$7*8.34*0.000453592*$Q$8)+
(R17*($R$3/100)*($R$4/100)*$R$7*8.34*0.000453592*$R$8)+
(V17*($V$3/100)*($V$4/100)*$V$7*8.34*0.000453592*$V$8)+
(W17*$W$2*($W$3/100)*($BW$4/100)*$W$7*8.34*0.000453592*$W$8)+
(X17*($X$3/100)*($X$4/100)*$X$7*8.34*0.000453592*$X$8)+
(Y17*($Y$3/100)*($Y$4/100)*$Y$7*8.34*0.000453592*$Y$8)</f>
        <v>4115.1092138604436</v>
      </c>
      <c r="AS17" s="18">
        <f t="shared" si="7"/>
        <v>9579.974249867113</v>
      </c>
      <c r="AV17" s="40"/>
    </row>
    <row r="18" spans="1:48">
      <c r="A18" t="s">
        <v>80</v>
      </c>
      <c r="B18">
        <v>8</v>
      </c>
      <c r="C18" s="24">
        <v>4000</v>
      </c>
      <c r="D18" s="25">
        <v>2000</v>
      </c>
      <c r="E18" s="78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25">
        <v>4000</v>
      </c>
      <c r="L18" s="76">
        <v>0</v>
      </c>
      <c r="M18" s="76">
        <v>0</v>
      </c>
      <c r="N18" s="76">
        <v>0</v>
      </c>
      <c r="O18" s="8">
        <v>8</v>
      </c>
      <c r="P18" s="80">
        <v>0</v>
      </c>
      <c r="Q18" s="25">
        <v>1000</v>
      </c>
      <c r="R18" s="76">
        <v>0</v>
      </c>
      <c r="S18" s="25">
        <v>25</v>
      </c>
      <c r="T18" s="76">
        <v>0</v>
      </c>
      <c r="U18" s="76">
        <v>0</v>
      </c>
      <c r="V18" s="78">
        <v>0</v>
      </c>
      <c r="W18" s="76">
        <v>0</v>
      </c>
      <c r="X18" s="78">
        <v>0</v>
      </c>
      <c r="Y18" s="76">
        <v>0</v>
      </c>
      <c r="Z18" s="76">
        <v>0</v>
      </c>
      <c r="AA18" s="44"/>
      <c r="AC18" s="10">
        <f t="shared" si="0"/>
        <v>10000</v>
      </c>
      <c r="AD18" s="34">
        <f t="shared" si="8"/>
        <v>1025</v>
      </c>
      <c r="AE18" s="10">
        <f t="shared" si="1"/>
        <v>11025</v>
      </c>
      <c r="AF18" s="72">
        <f t="shared" si="2"/>
        <v>90.702947845804985</v>
      </c>
      <c r="AG18" s="72">
        <f t="shared" si="3"/>
        <v>9.2970521541950113</v>
      </c>
      <c r="AI18" s="70">
        <f>((C18*8.34*$C$7*($C$3/100))*($C$4/100))+(('Jan''16'!C18*8.34*$D$7*($D$3/100))*($D$4/100))+ ((E18*8.34*$E$7*($E$3/100))*($E$4/100))+((F18*8.34*$F$7*($F$3/100))*($F$4/100))+ ((G18*8.34*$G$7*($G$3/100))*($G$4/100))+((H18*8.34*$H$7*($H$3/100))*($H$4/100))+ ((I18*8.34*$I$7*($I$3/100))*($I$4/100))+((J18*8.34*$J$7*($J$3/100))*($J$4/100))+ ((K18*8.34*$K$7*($K$3/100))*($K$4/100))+((L18*8.34*$L$7*($L$3/100))*($L$4/100))+ ((M18*8.34*$M$7*($M$3/100))*($M$4/100))+((N18*8.34*$N$7*($N$3/100))*($N$4/100))+ ((P18*8.34*$P$7*($P$3/100))*($P$4/100))+((Q18*8.34*$Q$7*($Q$3/100))*($Q$4/100))+
((R18*8.34*$R$7*($R$3/100))*($R$4/100))+((S18*8.34*$S$7*($S$3/100))*($S$4/100))+
((V18*8.34*$V$7*($V$3/100))*($V$4/100))+(((W18*$W$2)*8.34*$W$7*($W$3/100))*($W$4/100))+
((X18*8.34*$X$7*($X$3/100))*($X$4/100))+((Y18*8.34*$Y$7*($Y$3/100))*($Y$4/100))</f>
        <v>7687.2949200000003</v>
      </c>
      <c r="AJ18" s="17">
        <f t="shared" si="4"/>
        <v>0.111571769521045</v>
      </c>
      <c r="AK18" s="17">
        <f t="shared" si="5"/>
        <v>2.4250141703470032E-2</v>
      </c>
      <c r="AM18" s="102">
        <f>((((C18*8.34*$C$7*($C$3/100))*($C$4/100))/($C$5+$C$6))*$C$5)
+(((('Jan''16'!C18*8.34*$D$7*($D$3/100))*($D$4/100))/($D$5+$D$6))*$D$5)
+((((E18*8.34*$E$7*($E$3/100))*($E$4/100))/($E$5+$E$6))*$E$5)
+((((F18*8.34*$F$7*($F$3/100))*($F$4/100))/($F$5+$F$6))*$F$5)
+((((G18*8.34*$G$7*($G$3/100))*($G$4/100))/($G$5+$G$6))*$G$5)
+((((H18*8.34*$H$7*($H$3/100))*($H$4/100))/($H$5+$H$6))*$H$5)
+((((I18*8.34*$I$7*($I$3/100))*($I$4/100))/($I$5+$I$6))*$I$5)
+((((J18*8.34*$J$7*($J$3/100))*($J$4/100))/($J$5+$J$6))*$J$5)
+((((K18*8.34*$K$7*($K$3/100))*($K$4/100))/($K$5+$K$6))*$K$5)
+((((L18*8.34*$L$7*($L$3/100))*($L$4/100))/($L$5+$L$6))*$L$5)
+((((M18*8.34*$M$7*($M$3/100))*($M$4/100))/($M$5+$M$6))*$M$5)
+((((N18*8.34*$N$7*($N$3/100))*($N$4/100))/($N$5+$N$6))*$N$5)
+((((P18*8.34*$P$7*($P$3/100))*($P$4/100))/($P$5+$P$6))*$P$5)
+((((Q18*8.34*$Q$7*($Q$3/100))*($Q$4/100))/($Q$5+$Q$6))*$Q$5)
+((((R18*8.34*$R$7*($R$3/100))*($R$4/100))/($R$5+$R$6))*$R$5)
+((((V18*8.34*$V$7*($V$3/100))*($V$4/100))/($V$5+$V$6))*$V$5)
+(((((W18*$W$2)*8.34*$W$7*($W$3/100))*($W$4/100))/($W$5+$W$6))*$W$5)
+((((X18*8.34*$X$7*($X$3/100))*($X$4/100))/($X$5+$X$6))*$X$5)
+((((Y18*8.34*$Y$7*($Y$3/100))*($Y$4/100))/($Y$5+$Y$6))*$Y$5)</f>
        <v>7293.7685329114265</v>
      </c>
      <c r="AN18" s="102">
        <f>((((C18*8.34*$C$7*($C$3/100))*($C$4/100))/($C$5+$C$6))*$C$6)
+(((('Jan''16'!C18*8.34*$D$7*($D$3/100))*($D$4/100))/($D$5+$D$6))*$D$6)
+((((E18*8.34*$E$7*($E$3/100))*($E$4/100))/($E$5+$E$6))*$E$6)
+((((F18*8.34*$F$7*($F$3/100))*($F$4/100))/($F$5+$F$6))*$F$6)
+((((G18*8.34*$G$7*($G$3/100))*($G$4/100))/($G$5+$G$6))*$G$6)
+((((H18*8.34*$H$7*($H$3/100))*($H$4/100))/($H$5+$H$6))*$H$6)
+((((I18*8.34*$I$7*($I$3/100))*($I$4/100))/($I$5+$I$6))*$I$6)
+((((J18*8.34*$J$7*($J$3/100))*($J$4/100))/($J$5+$J$6))*$J$6)
+((((K18*8.34*$K$7*($K$3/100))*($K$4/100))/($K$5+$K$6))*$K$6)
+((((L18*8.34*$L$7*($L$3/100))*($L$4/100))/($L$5+$L$6))*$L$6)
+((((M18*8.34*$M$7*($M$3/100))*($M$4/100))/($M$5+$M$6))*$M$6)
+((((N18*8.34*$N$7*($N$3/100))*($N$4/100))/($N$5+$N$6))*$N$6)
+((((P18*8.34*$P$7*($P$3/100))*($P$4/100))/($P$5+$P$6))*$P$6)
+((((Q18*8.34*$Q$7*($Q$3/100))*($Q$4/100))/($Q$5+$Q$6))*$Q$6)
+((((R18*8.34*$R$7*($R$3/100))*($R$4/100))/($R$5+$R$6))*$R$6)
+((((V18*8.34*$V$7*($V$3/100))*($V$4/100))/($V$5+$V$6))*$V$6)
+(((((W18*$W$2) *8.34*$W$7*($W$3/100))*($W$4/100))/($W$5+$W$6))*$W$6)
+((((X18*8.34*$X$7*($X$3/100))*($X$4/100))/($X$5+$X$6))*$X$6)
+((((Y18*8.34*$Y$7*($Y$3/100))*($Y$4/100))/($Y$5+$Y$6))*$Y$6)</f>
        <v>393.52638708857376</v>
      </c>
      <c r="AO18" s="46">
        <f t="shared" si="6"/>
        <v>18.534382374897181</v>
      </c>
      <c r="AP18" s="68">
        <v>1</v>
      </c>
      <c r="AR18" s="18">
        <f>(C18*($C$3/100)*($C$4/100)*$C$7*8.34*0.000453592*$C$8)+
('Jan''16'!C18*($D$3/100)*($D$4/100)*$D$7*8.34*0.000453592*$D$8)+
(E18*($E$3/100)*($E$4/100)*$E$7*8.34*0.000453592*$E$8)+
(F18*($F$3/100)*($F$4/100)*$F$7*8.34*0.000453592*$F$8)+
(G18*($G$3/100)*($G$4/100)*$G$7*8.34*0.000453592*$G$8)+
(H18*($H$3/100)*($H$4/100)*$H$7*8.34*0.000453592*$H$8)+
(I18*($I$3/100)*($I$4/100)*$I$7*8.34*0.000453592*$I$8)+
(J18*($J$3/100)*($J$4/100)*$J$7*8.34*0.000453592*$J$8)+
(K18*($K$3/100)*($K$4/100)*$K$7*8.34*0.000453592*$K$8)+
(L18*($L$3/100)*($L$4/100)*$L$7*8.34*0.000453592*$L$8)+
(M18*($M$3/100)*($M$4/100)*$M$7*8.34*0.000453592*$M$8)+
(N18*($N$3/100)*($N$4/100)*$N$7*8.34*0.000453592*$N$8)+
(P18*($P$3/100)*($P$4/100)*$P$7*8.34*0.000453592*$P$8)+
(Q18*($Q$3/100)*($Q$4/100)*$Q$7*8.34*0.000453592*$Q$8)+
(R18*($R$3/100)*($R$4/100)*$R$7*8.34*0.000453592*$R$8)+
(V18*($V$3/100)*($V$4/100)*$V$7*8.34*0.000453592*$V$8)+
(W18*$W$2*($W$3/100)*($BW$4/100)*$W$7*8.34*0.000453592*$W$8)+
(X18*($X$3/100)*($X$4/100)*$X$7*8.34*0.000453592*$X$8)+
(Y18*($Y$3/100)*($Y$4/100)*$Y$7*8.34*0.000453592*$Y$8)</f>
        <v>1820.5406250854401</v>
      </c>
      <c r="AS18" s="18">
        <f t="shared" si="7"/>
        <v>4238.2185751989045</v>
      </c>
      <c r="AV18" s="40"/>
    </row>
    <row r="19" spans="1:48">
      <c r="A19" t="s">
        <v>83</v>
      </c>
      <c r="B19">
        <v>9</v>
      </c>
      <c r="C19" s="24">
        <v>4000</v>
      </c>
      <c r="D19" s="25">
        <v>2000</v>
      </c>
      <c r="E19" s="78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8">
        <v>0</v>
      </c>
      <c r="L19" s="76">
        <v>0</v>
      </c>
      <c r="M19" s="76">
        <v>0</v>
      </c>
      <c r="N19" s="76">
        <v>0</v>
      </c>
      <c r="O19" s="8">
        <v>9</v>
      </c>
      <c r="P19" s="24">
        <f>300+4000</f>
        <v>4300</v>
      </c>
      <c r="Q19" s="25">
        <v>800</v>
      </c>
      <c r="R19" s="76">
        <v>0</v>
      </c>
      <c r="S19" s="25">
        <v>20</v>
      </c>
      <c r="T19" s="76">
        <v>0</v>
      </c>
      <c r="U19" s="76">
        <v>0</v>
      </c>
      <c r="V19" s="78">
        <v>0</v>
      </c>
      <c r="W19" s="30">
        <v>15</v>
      </c>
      <c r="X19" s="78">
        <v>0</v>
      </c>
      <c r="Y19" s="76">
        <v>0</v>
      </c>
      <c r="Z19" s="76">
        <v>0</v>
      </c>
      <c r="AA19" s="44"/>
      <c r="AC19" s="10">
        <f t="shared" si="0"/>
        <v>6000</v>
      </c>
      <c r="AD19" s="34">
        <f t="shared" si="8"/>
        <v>5660</v>
      </c>
      <c r="AE19" s="10">
        <f t="shared" si="1"/>
        <v>11660</v>
      </c>
      <c r="AF19" s="72">
        <f t="shared" si="2"/>
        <v>51.457975986277873</v>
      </c>
      <c r="AG19" s="72">
        <f t="shared" si="3"/>
        <v>48.542024013722127</v>
      </c>
      <c r="AI19" s="70">
        <f>((C19*8.34*$C$7*($C$3/100))*($C$4/100))+(('Jan''16'!C19*8.34*$D$7*($D$3/100))*($D$4/100))+ ((E19*8.34*$E$7*($E$3/100))*($E$4/100))+((F19*8.34*$F$7*($F$3/100))*($F$4/100))+ ((G19*8.34*$G$7*($G$3/100))*($G$4/100))+((H19*8.34*$H$7*($H$3/100))*($H$4/100))+ ((I19*8.34*$I$7*($I$3/100))*($I$4/100))+((J19*8.34*$J$7*($J$3/100))*($J$4/100))+ ((K19*8.34*$K$7*($K$3/100))*($K$4/100))+((L19*8.34*$L$7*($L$3/100))*($L$4/100))+ ((M19*8.34*$M$7*($M$3/100))*($M$4/100))+((N19*8.34*$N$7*($N$3/100))*($N$4/100))+ ((P19*8.34*$P$7*($P$3/100))*($P$4/100))+((Q19*8.34*$Q$7*($Q$3/100))*($Q$4/100))+
((R19*8.34*$R$7*($R$3/100))*($R$4/100))+((S19*8.34*$S$7*($S$3/100))*($S$4/100))+
((V19*8.34*$V$7*($V$3/100))*($V$4/100))+(((W19*$W$2)*8.34*$W$7*($W$3/100))*($W$4/100))+
((X19*8.34*$X$7*($X$3/100))*($X$4/100))+((Y19*8.34*$Y$7*($Y$3/100))*($Y$4/100))</f>
        <v>9027.9666000000016</v>
      </c>
      <c r="AJ19" s="17">
        <f t="shared" si="4"/>
        <v>0.13102999419448477</v>
      </c>
      <c r="AK19" s="17">
        <f t="shared" si="5"/>
        <v>2.8479389905362782E-2</v>
      </c>
      <c r="AM19" s="102">
        <f>((((C19*8.34*$C$7*($C$3/100))*($C$4/100))/($C$5+$C$6))*$C$5)
+(((('Jan''16'!C19*8.34*$D$7*($D$3/100))*($D$4/100))/($D$5+$D$6))*$D$5)
+((((E19*8.34*$E$7*($E$3/100))*($E$4/100))/($E$5+$E$6))*$E$5)
+((((F19*8.34*$F$7*($F$3/100))*($F$4/100))/($F$5+$F$6))*$F$5)
+((((G19*8.34*$G$7*($G$3/100))*($G$4/100))/($G$5+$G$6))*$G$5)
+((((H19*8.34*$H$7*($H$3/100))*($H$4/100))/($H$5+$H$6))*$H$5)
+((((I19*8.34*$I$7*($I$3/100))*($I$4/100))/($I$5+$I$6))*$I$5)
+((((J19*8.34*$J$7*($J$3/100))*($J$4/100))/($J$5+$J$6))*$J$5)
+((((K19*8.34*$K$7*($K$3/100))*($K$4/100))/($K$5+$K$6))*$K$5)
+((((L19*8.34*$L$7*($L$3/100))*($L$4/100))/($L$5+$L$6))*$L$5)
+((((M19*8.34*$M$7*($M$3/100))*($M$4/100))/($M$5+$M$6))*$M$5)
+((((N19*8.34*$N$7*($N$3/100))*($N$4/100))/($N$5+$N$6))*$N$5)
+((((P19*8.34*$P$7*($P$3/100))*($P$4/100))/($P$5+$P$6))*$P$5)
+((((Q19*8.34*$Q$7*($Q$3/100))*($Q$4/100))/($Q$5+$Q$6))*$Q$5)
+((((R19*8.34*$R$7*($R$3/100))*($R$4/100))/($R$5+$R$6))*$R$5)
+((((V19*8.34*$V$7*($V$3/100))*($V$4/100))/($V$5+$V$6))*$V$5)
+(((((W19*$W$2)*8.34*$W$7*($W$3/100))*($W$4/100))/($W$5+$W$6))*$W$5)
+((((X19*8.34*$X$7*($X$3/100))*($X$4/100))/($X$5+$X$6))*$X$5)
+((((Y19*8.34*$Y$7*($Y$3/100))*($Y$4/100))/($Y$5+$Y$6))*$Y$5)</f>
        <v>8537.4632132248935</v>
      </c>
      <c r="AN19" s="102">
        <f>((((C19*8.34*$C$7*($C$3/100))*($C$4/100))/($C$5+$C$6))*$C$6)
+(((('Jan''16'!C19*8.34*$D$7*($D$3/100))*($D$4/100))/($D$5+$D$6))*$D$6)
+((((E19*8.34*$E$7*($E$3/100))*($E$4/100))/($E$5+$E$6))*$E$6)
+((((F19*8.34*$F$7*($F$3/100))*($F$4/100))/($F$5+$F$6))*$F$6)
+((((G19*8.34*$G$7*($G$3/100))*($G$4/100))/($G$5+$G$6))*$G$6)
+((((H19*8.34*$H$7*($H$3/100))*($H$4/100))/($H$5+$H$6))*$H$6)
+((((I19*8.34*$I$7*($I$3/100))*($I$4/100))/($I$5+$I$6))*$I$6)
+((((J19*8.34*$J$7*($J$3/100))*($J$4/100))/($J$5+$J$6))*$J$6)
+((((K19*8.34*$K$7*($K$3/100))*($K$4/100))/($K$5+$K$6))*$K$6)
+((((L19*8.34*$L$7*($L$3/100))*($L$4/100))/($L$5+$L$6))*$L$6)
+((((M19*8.34*$M$7*($M$3/100))*($M$4/100))/($M$5+$M$6))*$M$6)
+((((N19*8.34*$N$7*($N$3/100))*($N$4/100))/($N$5+$N$6))*$N$6)
+((((P19*8.34*$P$7*($P$3/100))*($P$4/100))/($P$5+$P$6))*$P$6)
+((((Q19*8.34*$Q$7*($Q$3/100))*($Q$4/100))/($Q$5+$Q$6))*$Q$6)
+((((R19*8.34*$R$7*($R$3/100))*($R$4/100))/($R$5+$R$6))*$R$6)
+((((V19*8.34*$V$7*($V$3/100))*($V$4/100))/($V$5+$V$6))*$V$6)
+(((((W19*$W$2) *8.34*$W$7*($W$3/100))*($W$4/100))/($W$5+$W$6))*$W$6)
+((((X19*8.34*$X$7*($X$3/100))*($X$4/100))/($X$5+$X$6))*$X$6)
+((((Y19*8.34*$Y$7*($Y$3/100))*($Y$4/100))/($Y$5+$Y$6))*$Y$6)</f>
        <v>490.50338677510609</v>
      </c>
      <c r="AO19" s="46">
        <f t="shared" si="6"/>
        <v>17.405513281683593</v>
      </c>
      <c r="AP19" s="68">
        <v>1</v>
      </c>
      <c r="AR19" s="18">
        <f>(C19*($C$3/100)*($C$4/100)*$C$7*8.34*0.000453592*$C$8)+
('Jan''16'!C19*($D$3/100)*($D$4/100)*$D$7*8.34*0.000453592*$D$8)+
(E19*($E$3/100)*($E$4/100)*$E$7*8.34*0.000453592*$E$8)+
(F19*($F$3/100)*($F$4/100)*$F$7*8.34*0.000453592*$F$8)+
(G19*($G$3/100)*($G$4/100)*$G$7*8.34*0.000453592*$G$8)+
(H19*($H$3/100)*($H$4/100)*$H$7*8.34*0.000453592*$H$8)+
(I19*($I$3/100)*($I$4/100)*$I$7*8.34*0.000453592*$I$8)+
(J19*($J$3/100)*($J$4/100)*$J$7*8.34*0.000453592*$J$8)+
(K19*($K$3/100)*($K$4/100)*$K$7*8.34*0.000453592*$K$8)+
(L19*($L$3/100)*($L$4/100)*$L$7*8.34*0.000453592*$L$8)+
(M19*($M$3/100)*($M$4/100)*$M$7*8.34*0.000453592*$M$8)+
(N19*($N$3/100)*($N$4/100)*$N$7*8.34*0.000453592*$N$8)+
(P19*($P$3/100)*($P$4/100)*$P$7*8.34*0.000453592*$P$8)+
(Q19*($Q$3/100)*($Q$4/100)*$Q$7*8.34*0.000453592*$Q$8)+
(R19*($R$3/100)*($R$4/100)*$R$7*8.34*0.000453592*$R$8)+
(V19*($V$3/100)*($V$4/100)*$V$7*8.34*0.000453592*$V$8)+
(W19*$W$2*($W$3/100)*($BW$4/100)*$W$7*8.34*0.000453592*$W$8)+
(X19*($X$3/100)*($X$4/100)*$X$7*8.34*0.000453592*$X$8)+
(Y19*($Y$3/100)*($Y$4/100)*$Y$7*8.34*0.000453592*$Y$8)</f>
        <v>1943.73262890864</v>
      </c>
      <c r="AS19" s="18">
        <f t="shared" si="7"/>
        <v>4525.0095600993145</v>
      </c>
      <c r="AV19" s="40"/>
    </row>
    <row r="20" spans="1:48">
      <c r="B20">
        <v>10</v>
      </c>
      <c r="C20" s="24">
        <v>4000</v>
      </c>
      <c r="D20" s="25">
        <v>2000</v>
      </c>
      <c r="E20" s="25">
        <v>600</v>
      </c>
      <c r="F20" s="30">
        <v>600</v>
      </c>
      <c r="G20" s="76">
        <v>0</v>
      </c>
      <c r="H20" s="76">
        <v>0</v>
      </c>
      <c r="I20" s="76">
        <v>0</v>
      </c>
      <c r="J20" s="76">
        <v>0</v>
      </c>
      <c r="K20" s="25">
        <f>4000+4000</f>
        <v>8000</v>
      </c>
      <c r="L20" s="76">
        <v>0</v>
      </c>
      <c r="M20" s="76">
        <v>0</v>
      </c>
      <c r="N20" s="76">
        <v>0</v>
      </c>
      <c r="O20" s="8">
        <v>10</v>
      </c>
      <c r="P20" s="24">
        <v>1000</v>
      </c>
      <c r="Q20" s="78">
        <v>0</v>
      </c>
      <c r="R20" s="76">
        <v>0</v>
      </c>
      <c r="S20" s="25">
        <v>25</v>
      </c>
      <c r="T20" s="76">
        <v>0</v>
      </c>
      <c r="U20" s="76">
        <v>0</v>
      </c>
      <c r="V20" s="25">
        <v>3800</v>
      </c>
      <c r="W20" s="76">
        <v>0</v>
      </c>
      <c r="X20" s="25">
        <f>2*325</f>
        <v>650</v>
      </c>
      <c r="Y20" s="76">
        <v>0</v>
      </c>
      <c r="Z20" s="76">
        <v>0</v>
      </c>
      <c r="AA20" s="44"/>
      <c r="AC20" s="10">
        <f t="shared" si="0"/>
        <v>15200</v>
      </c>
      <c r="AD20" s="34">
        <f t="shared" si="8"/>
        <v>5475</v>
      </c>
      <c r="AE20" s="10">
        <f t="shared" si="1"/>
        <v>20675</v>
      </c>
      <c r="AF20" s="72">
        <f t="shared" si="2"/>
        <v>73.518742442563479</v>
      </c>
      <c r="AG20" s="72">
        <f t="shared" si="3"/>
        <v>26.481257557436518</v>
      </c>
      <c r="AI20" s="70">
        <f>((C20*8.34*$C$7*($C$3/100))*($C$4/100))+(('Jan''16'!C20*8.34*$D$7*($D$3/100))*($D$4/100))+ ((E20*8.34*$E$7*($E$3/100))*($E$4/100))+((F20*8.34*$F$7*($F$3/100))*($F$4/100))+ ((G20*8.34*$G$7*($G$3/100))*($G$4/100))+((H20*8.34*$H$7*($H$3/100))*($H$4/100))+ ((I20*8.34*$I$7*($I$3/100))*($I$4/100))+((J20*8.34*$J$7*($J$3/100))*($J$4/100))+ ((K20*8.34*$K$7*($K$3/100))*($K$4/100))+((L20*8.34*$L$7*($L$3/100))*($L$4/100))+ ((M20*8.34*$M$7*($M$3/100))*($M$4/100))+((N20*8.34*$N$7*($N$3/100))*($N$4/100))+ ((P20*8.34*$P$7*($P$3/100))*($P$4/100))+((Q20*8.34*$Q$7*($Q$3/100))*($Q$4/100))+
((R20*8.34*$R$7*($R$3/100))*($R$4/100))+((S20*8.34*$S$7*($S$3/100))*($S$4/100))+
((V20*8.34*$V$7*($V$3/100))*($V$4/100))+(((W20*$W$2)*8.34*$W$7*($W$3/100))*($W$4/100))+
((X20*8.34*$X$7*($X$3/100))*($X$4/100))+((Y20*8.34*$Y$7*($Y$3/100))*($Y$4/100))</f>
        <v>9951.0294600000016</v>
      </c>
      <c r="AJ20" s="17">
        <f t="shared" si="4"/>
        <v>0.144427132946299</v>
      </c>
      <c r="AK20" s="17">
        <f t="shared" si="5"/>
        <v>3.1391260126182971E-2</v>
      </c>
      <c r="AM20" s="102">
        <f>((((C20*8.34*$C$7*($C$3/100))*($C$4/100))/($C$5+$C$6))*$C$5)
+(((('Jan''16'!C20*8.34*$D$7*($D$3/100))*($D$4/100))/($D$5+$D$6))*$D$5)
+((((E20*8.34*$E$7*($E$3/100))*($E$4/100))/($E$5+$E$6))*$E$5)
+((((F20*8.34*$F$7*($F$3/100))*($F$4/100))/($F$5+$F$6))*$F$5)
+((((G20*8.34*$G$7*($G$3/100))*($G$4/100))/($G$5+$G$6))*$G$5)
+((((H20*8.34*$H$7*($H$3/100))*($H$4/100))/($H$5+$H$6))*$H$5)
+((((I20*8.34*$I$7*($I$3/100))*($I$4/100))/($I$5+$I$6))*$I$5)
+((((J20*8.34*$J$7*($J$3/100))*($J$4/100))/($J$5+$J$6))*$J$5)
+((((K20*8.34*$K$7*($K$3/100))*($K$4/100))/($K$5+$K$6))*$K$5)
+((((L20*8.34*$L$7*($L$3/100))*($L$4/100))/($L$5+$L$6))*$L$5)
+((((M20*8.34*$M$7*($M$3/100))*($M$4/100))/($M$5+$M$6))*$M$5)
+((((N20*8.34*$N$7*($N$3/100))*($N$4/100))/($N$5+$N$6))*$N$5)
+((((P20*8.34*$P$7*($P$3/100))*($P$4/100))/($P$5+$P$6))*$P$5)
+((((Q20*8.34*$Q$7*($Q$3/100))*($Q$4/100))/($Q$5+$Q$6))*$Q$5)
+((((R20*8.34*$R$7*($R$3/100))*($R$4/100))/($R$5+$R$6))*$R$5)
+((((V20*8.34*$V$7*($V$3/100))*($V$4/100))/($V$5+$V$6))*$V$5)
+(((((W20*$W$2)*8.34*$W$7*($W$3/100))*($W$4/100))/($W$5+$W$6))*$W$5)
+((((X20*8.34*$X$7*($X$3/100))*($X$4/100))/($X$5+$X$6))*$X$5)
+((((Y20*8.34*$Y$7*($Y$3/100))*($Y$4/100))/($Y$5+$Y$6))*$Y$5)</f>
        <v>9145.2335669940676</v>
      </c>
      <c r="AN20" s="102">
        <f>((((C20*8.34*$C$7*($C$3/100))*($C$4/100))/($C$5+$C$6))*$C$6)
+(((('Jan''16'!C20*8.34*$D$7*($D$3/100))*($D$4/100))/($D$5+$D$6))*$D$6)
+((((E20*8.34*$E$7*($E$3/100))*($E$4/100))/($E$5+$E$6))*$E$6)
+((((F20*8.34*$F$7*($F$3/100))*($F$4/100))/($F$5+$F$6))*$F$6)
+((((G20*8.34*$G$7*($G$3/100))*($G$4/100))/($G$5+$G$6))*$G$6)
+((((H20*8.34*$H$7*($H$3/100))*($H$4/100))/($H$5+$H$6))*$H$6)
+((((I20*8.34*$I$7*($I$3/100))*($I$4/100))/($I$5+$I$6))*$I$6)
+((((J20*8.34*$J$7*($J$3/100))*($J$4/100))/($J$5+$J$6))*$J$6)
+((((K20*8.34*$K$7*($K$3/100))*($K$4/100))/($K$5+$K$6))*$K$6)
+((((L20*8.34*$L$7*($L$3/100))*($L$4/100))/($L$5+$L$6))*$L$6)
+((((M20*8.34*$M$7*($M$3/100))*($M$4/100))/($M$5+$M$6))*$M$6)
+((((N20*8.34*$N$7*($N$3/100))*($N$4/100))/($N$5+$N$6))*$N$6)
+((((P20*8.34*$P$7*($P$3/100))*($P$4/100))/($P$5+$P$6))*$P$6)
+((((Q20*8.34*$Q$7*($Q$3/100))*($Q$4/100))/($Q$5+$Q$6))*$Q$6)
+((((R20*8.34*$R$7*($R$3/100))*($R$4/100))/($R$5+$R$6))*$R$6)
+((((V20*8.34*$V$7*($V$3/100))*($V$4/100))/($V$5+$V$6))*$V$6)
+(((((W20*$W$2) *8.34*$W$7*($W$3/100))*($W$4/100))/($W$5+$W$6))*$W$6)
+((((X20*8.34*$X$7*($X$3/100))*($X$4/100))/($X$5+$X$6))*$X$6)
+((((Y20*8.34*$Y$7*($Y$3/100))*($Y$4/100))/($Y$5+$Y$6))*$Y$6)</f>
        <v>805.79589300593284</v>
      </c>
      <c r="AO20" s="46">
        <f t="shared" si="6"/>
        <v>11.349317670109711</v>
      </c>
      <c r="AP20" s="68">
        <v>1</v>
      </c>
      <c r="AR20" s="7">
        <f>(C20*($C$3/100)*($C$4/100)*$C$7*8.34*0.000453592*$C$8)+
('Jan''16'!C20*($D$3/100)*($D$4/100)*$D$7*8.34*0.000453592*$D$8)+
(E20*($E$3/100)*($E$4/100)*$E$7*8.34*0.000453592*$E$8)+
(F20*($F$3/100)*($F$4/100)*$F$7*8.34*0.000453592*$F$8)+
(G20*($G$3/100)*($G$4/100)*$G$7*8.34*0.000453592*$G$8)+
(H20*($H$3/100)*($H$4/100)*$H$7*8.34*0.000453592*$H$8)+
(I20*($I$3/100)*($I$4/100)*$I$7*8.34*0.000453592*$I$8)+
(J20*($J$3/100)*($J$4/100)*$J$7*8.34*0.000453592*$J$8)+
(K20*($K$3/100)*($K$4/100)*$K$7*8.34*0.000453592*$K$8)+
(L20*($L$3/100)*($L$4/100)*$L$7*8.34*0.000453592*$L$8)+
(M20*($M$3/100)*($M$4/100)*$M$7*8.34*0.000453592*$M$8)+
(N20*($N$3/100)*($N$4/100)*$N$7*8.34*0.000453592*$N$8)+
(P20*($P$3/100)*($P$4/100)*$P$7*8.34*0.000453592*$P$8)+
(Q20*($Q$3/100)*($Q$4/100)*$Q$7*8.34*0.000453592*$Q$8)+
(R20*($R$3/100)*($R$4/100)*$R$7*8.34*0.000453592*$R$8)+
(V20*($V$3/100)*($V$4/100)*$V$7*8.34*0.000453592*$V$8)+
(W20*$W$2*($W$3/100)*($BW$4/100)*$W$7*8.34*0.000453592*$W$8)+
(X20*($X$3/100)*($X$4/100)*$X$7*8.34*0.000453592*$X$8)+
(Y20*($Y$3/100)*($Y$4/100)*$Y$7*8.34*0.000453592*$Y$8)</f>
        <v>1953.9760449722783</v>
      </c>
      <c r="AS20" s="7">
        <f t="shared" si="7"/>
        <v>4548.8562326954634</v>
      </c>
      <c r="AV20" s="40"/>
    </row>
    <row r="21" spans="1:48" s="35" customFormat="1">
      <c r="A21"/>
      <c r="B21" s="35">
        <v>11</v>
      </c>
      <c r="C21" s="24">
        <v>4000</v>
      </c>
      <c r="D21" s="25">
        <v>2000</v>
      </c>
      <c r="E21" s="78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25">
        <v>4000</v>
      </c>
      <c r="L21" s="76">
        <v>0</v>
      </c>
      <c r="M21" s="76">
        <v>0</v>
      </c>
      <c r="N21" s="76">
        <v>0</v>
      </c>
      <c r="O21" s="53">
        <v>11</v>
      </c>
      <c r="P21" s="24">
        <v>900</v>
      </c>
      <c r="Q21" s="78">
        <v>0</v>
      </c>
      <c r="R21" s="76">
        <v>0</v>
      </c>
      <c r="S21" s="78">
        <v>0</v>
      </c>
      <c r="T21" s="76">
        <v>0</v>
      </c>
      <c r="U21" s="76">
        <v>0</v>
      </c>
      <c r="V21" s="78">
        <v>0</v>
      </c>
      <c r="W21" s="30">
        <v>20</v>
      </c>
      <c r="X21" s="78">
        <v>0</v>
      </c>
      <c r="Y21" s="76">
        <v>0</v>
      </c>
      <c r="Z21" s="76">
        <v>0</v>
      </c>
      <c r="AA21" s="44"/>
      <c r="AC21" s="34">
        <f t="shared" si="0"/>
        <v>10000</v>
      </c>
      <c r="AD21" s="34">
        <f t="shared" si="8"/>
        <v>1620</v>
      </c>
      <c r="AE21" s="34">
        <f t="shared" si="1"/>
        <v>11620</v>
      </c>
      <c r="AF21" s="73">
        <f t="shared" si="2"/>
        <v>86.058519793459553</v>
      </c>
      <c r="AG21" s="73">
        <f t="shared" si="3"/>
        <v>13.941480206540447</v>
      </c>
      <c r="AI21" s="71">
        <f>((C21*8.34*$C$7*($C$3/100))*($C$4/100))+(('Jan''16'!C21*8.34*$D$7*($D$3/100))*($D$4/100))+ ((E21*8.34*$E$7*($E$3/100))*($E$4/100))+((F21*8.34*$F$7*($F$3/100))*($F$4/100))+ ((G21*8.34*$G$7*($G$3/100))*($G$4/100))+((H21*8.34*$H$7*($H$3/100))*($H$4/100))+ ((I21*8.34*$I$7*($I$3/100))*($I$4/100))+((J21*8.34*$J$7*($J$3/100))*($J$4/100))+ ((K21*8.34*$K$7*($K$3/100))*($K$4/100))+((L21*8.34*$L$7*($L$3/100))*($L$4/100))+ ((M21*8.34*$M$7*($M$3/100))*($M$4/100))+((N21*8.34*$N$7*($N$3/100))*($N$4/100))+ ((P21*8.34*$P$7*($P$3/100))*($P$4/100))+((Q21*8.34*$Q$7*($Q$3/100))*($Q$4/100))+
((R21*8.34*$R$7*($R$3/100))*($R$4/100))+((S21*8.34*$S$7*($S$3/100))*($S$4/100))+
((V21*8.34*$V$7*($V$3/100))*($V$4/100))+(((W21*$W$2)*8.34*$W$7*($W$3/100))*($W$4/100))+
((X21*8.34*$X$7*($X$3/100))*($X$4/100))+((Y21*8.34*$Y$7*($Y$3/100))*($Y$4/100))</f>
        <v>5760.5047200000008</v>
      </c>
      <c r="AJ21" s="54">
        <f t="shared" si="4"/>
        <v>8.3606744847605233E-2</v>
      </c>
      <c r="AK21" s="54">
        <f t="shared" si="5"/>
        <v>1.8171939179810727E-2</v>
      </c>
      <c r="AM21" s="103">
        <f>((((C21*8.34*$C$7*($C$3/100))*($C$4/100))/($C$5+$C$6))*$C$5)
+(((('Jan''16'!C21*8.34*$D$7*($D$3/100))*($D$4/100))/($D$5+$D$6))*$D$5)
+((((E21*8.34*$E$7*($E$3/100))*($E$4/100))/($E$5+$E$6))*$E$5)
+((((F21*8.34*$F$7*($F$3/100))*($F$4/100))/($F$5+$F$6))*$F$5)
+((((G21*8.34*$G$7*($G$3/100))*($G$4/100))/($G$5+$G$6))*$G$5)
+((((H21*8.34*$H$7*($H$3/100))*($H$4/100))/($H$5+$H$6))*$H$5)
+((((I21*8.34*$I$7*($I$3/100))*($I$4/100))/($I$5+$I$6))*$I$5)
+((((J21*8.34*$J$7*($J$3/100))*($J$4/100))/($J$5+$J$6))*$J$5)
+((((K21*8.34*$K$7*($K$3/100))*($K$4/100))/($K$5+$K$6))*$K$5)
+((((L21*8.34*$L$7*($L$3/100))*($L$4/100))/($L$5+$L$6))*$L$5)
+((((M21*8.34*$M$7*($M$3/100))*($M$4/100))/($M$5+$M$6))*$M$5)
+((((N21*8.34*$N$7*($N$3/100))*($N$4/100))/($N$5+$N$6))*$N$5)
+((((P21*8.34*$P$7*($P$3/100))*($P$4/100))/($P$5+$P$6))*$P$5)
+((((Q21*8.34*$Q$7*($Q$3/100))*($Q$4/100))/($Q$5+$Q$6))*$Q$5)
+((((R21*8.34*$R$7*($R$3/100))*($R$4/100))/($R$5+$R$6))*$R$5)
+((((V21*8.34*$V$7*($V$3/100))*($V$4/100))/($V$5+$V$6))*$V$5)
+(((((W21*$W$2)*8.34*$W$7*($W$3/100))*($W$4/100))/($W$5+$W$6))*$W$5)
+((((X21*8.34*$X$7*($X$3/100))*($X$4/100))/($X$5+$X$6))*$X$5)
+((((Y21*8.34*$Y$7*($Y$3/100))*($Y$4/100))/($Y$5+$Y$6))*$Y$5)</f>
        <v>5284.0623360231666</v>
      </c>
      <c r="AN21" s="103">
        <f>((((C21*8.34*$C$7*($C$3/100))*($C$4/100))/($C$5+$C$6))*$C$6)
+(((('Jan''16'!C21*8.34*$D$7*($D$3/100))*($D$4/100))/($D$5+$D$6))*$D$6)
+((((E21*8.34*$E$7*($E$3/100))*($E$4/100))/($E$5+$E$6))*$E$6)
+((((F21*8.34*$F$7*($F$3/100))*($F$4/100))/($F$5+$F$6))*$F$6)
+((((G21*8.34*$G$7*($G$3/100))*($G$4/100))/($G$5+$G$6))*$G$6)
+((((H21*8.34*$H$7*($H$3/100))*($H$4/100))/($H$5+$H$6))*$H$6)
+((((I21*8.34*$I$7*($I$3/100))*($I$4/100))/($I$5+$I$6))*$I$6)
+((((J21*8.34*$J$7*($J$3/100))*($J$4/100))/($J$5+$J$6))*$J$6)
+((((K21*8.34*$K$7*($K$3/100))*($K$4/100))/($K$5+$K$6))*$K$6)
+((((L21*8.34*$L$7*($L$3/100))*($L$4/100))/($L$5+$L$6))*$L$6)
+((((M21*8.34*$M$7*($M$3/100))*($M$4/100))/($M$5+$M$6))*$M$6)
+((((N21*8.34*$N$7*($N$3/100))*($N$4/100))/($N$5+$N$6))*$N$6)
+((((P21*8.34*$P$7*($P$3/100))*($P$4/100))/($P$5+$P$6))*$P$6)
+((((Q21*8.34*$Q$7*($Q$3/100))*($Q$4/100))/($Q$5+$Q$6))*$Q$6)
+((((R21*8.34*$R$7*($R$3/100))*($R$4/100))/($R$5+$R$6))*$R$6)
+((((V21*8.34*$V$7*($V$3/100))*($V$4/100))/($V$5+$V$6))*$V$6)
+(((((W21*$W$2) *8.34*$W$7*($W$3/100))*($W$4/100))/($W$5+$W$6))*$W$6)
+((((X21*8.34*$X$7*($X$3/100))*($X$4/100))/($X$5+$X$6))*$X$6)
+((((Y21*8.34*$Y$7*($Y$3/100))*($Y$4/100))/($Y$5+$Y$6))*$Y$6)</f>
        <v>476.44238397683398</v>
      </c>
      <c r="AO21" s="46">
        <f t="shared" si="6"/>
        <v>11.090663874018592</v>
      </c>
      <c r="AP21" s="69">
        <v>1</v>
      </c>
      <c r="AR21" s="36">
        <f>(C21*($C$3/100)*($C$4/100)*$C$7*8.34*0.000453592*$C$8)+
('Jan''16'!C21*($D$3/100)*($D$4/100)*$D$7*8.34*0.000453592*$D$8)+
(E21*($E$3/100)*($E$4/100)*$E$7*8.34*0.000453592*$E$8)+
(F21*($F$3/100)*($F$4/100)*$F$7*8.34*0.000453592*$F$8)+
(G21*($G$3/100)*($G$4/100)*$G$7*8.34*0.000453592*$G$8)+
(H21*($H$3/100)*($H$4/100)*$H$7*8.34*0.000453592*$H$8)+
(I21*($I$3/100)*($I$4/100)*$I$7*8.34*0.000453592*$I$8)+
(J21*($J$3/100)*($J$4/100)*$J$7*8.34*0.000453592*$J$8)+
(K21*($K$3/100)*($K$4/100)*$K$7*8.34*0.000453592*$K$8)+
(L21*($L$3/100)*($L$4/100)*$L$7*8.34*0.000453592*$L$8)+
(M21*($M$3/100)*($M$4/100)*$M$7*8.34*0.000453592*$M$8)+
(N21*($N$3/100)*($N$4/100)*$N$7*8.34*0.000453592*$N$8)+
(P21*($P$3/100)*($P$4/100)*$P$7*8.34*0.000453592*$P$8)+
(Q21*($Q$3/100)*($Q$4/100)*$Q$7*8.34*0.000453592*$Q$8)+
(R21*($R$3/100)*($R$4/100)*$R$7*8.34*0.000453592*$R$8)+
(V21*($V$3/100)*($V$4/100)*$V$7*8.34*0.000453592*$V$8)+
(W21*$W$2*($W$3/100)*($BW$4/100)*$W$7*8.34*0.000453592*$W$8)+
(X21*($X$3/100)*($X$4/100)*$X$7*8.34*0.000453592*$X$8)+
(Y21*($Y$3/100)*($Y$4/100)*$Y$7*8.34*0.000453592*$Y$8)</f>
        <v>554.51722697424009</v>
      </c>
      <c r="AS21" s="36">
        <f t="shared" si="7"/>
        <v>1290.916104396031</v>
      </c>
      <c r="AV21" s="55"/>
    </row>
    <row r="22" spans="1:48" s="35" customFormat="1">
      <c r="A22"/>
      <c r="B22" s="35">
        <v>12</v>
      </c>
      <c r="C22" s="24">
        <v>4000</v>
      </c>
      <c r="D22" s="25">
        <v>2000</v>
      </c>
      <c r="E22" s="78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25">
        <v>4000</v>
      </c>
      <c r="L22" s="76">
        <v>0</v>
      </c>
      <c r="M22" s="76">
        <v>0</v>
      </c>
      <c r="N22" s="76">
        <v>0</v>
      </c>
      <c r="O22" s="53">
        <v>12</v>
      </c>
      <c r="P22" s="24">
        <v>1000</v>
      </c>
      <c r="Q22" s="25">
        <v>1500</v>
      </c>
      <c r="R22" s="76">
        <v>0</v>
      </c>
      <c r="S22" s="78">
        <v>0</v>
      </c>
      <c r="T22" s="76">
        <v>0</v>
      </c>
      <c r="U22" s="76">
        <v>0</v>
      </c>
      <c r="V22" s="78">
        <v>0</v>
      </c>
      <c r="W22" s="30">
        <v>21</v>
      </c>
      <c r="X22" s="78">
        <v>0</v>
      </c>
      <c r="Y22" s="76">
        <v>0</v>
      </c>
      <c r="Z22" s="76">
        <v>0</v>
      </c>
      <c r="AA22" s="44"/>
      <c r="AC22" s="34">
        <f t="shared" si="0"/>
        <v>10000</v>
      </c>
      <c r="AD22" s="34">
        <f t="shared" si="8"/>
        <v>3256</v>
      </c>
      <c r="AE22" s="34">
        <f t="shared" si="1"/>
        <v>13256</v>
      </c>
      <c r="AF22" s="73">
        <f t="shared" si="2"/>
        <v>75.437537718768866</v>
      </c>
      <c r="AG22" s="73">
        <f t="shared" si="3"/>
        <v>24.562462281231142</v>
      </c>
      <c r="AI22" s="71">
        <f>((C22*8.34*$C$7*($C$3/100))*($C$4/100))+(('Jan''16'!C22*8.34*$D$7*($D$3/100))*($D$4/100))+ ((E22*8.34*$E$7*($E$3/100))*($E$4/100))+((F22*8.34*$F$7*($F$3/100))*($F$4/100))+ ((G22*8.34*$G$7*($G$3/100))*($G$4/100))+((H22*8.34*$H$7*($H$3/100))*($H$4/100))+ ((I22*8.34*$I$7*($I$3/100))*($I$4/100))+((J22*8.34*$J$7*($J$3/100))*($J$4/100))+ ((K22*8.34*$K$7*($K$3/100))*($K$4/100))+((L22*8.34*$L$7*($L$3/100))*($L$4/100))+ ((M22*8.34*$M$7*($M$3/100))*($M$4/100))+((N22*8.34*$N$7*($N$3/100))*($N$4/100))+ ((P22*8.34*$P$7*($P$3/100))*($P$4/100))+((Q22*8.34*$Q$7*($Q$3/100))*($Q$4/100))+
((R22*8.34*$R$7*($R$3/100))*($R$4/100))+((S22*8.34*$S$7*($S$3/100))*($S$4/100))+
((V22*8.34*$V$7*($V$3/100))*($V$4/100))+(((W22*$W$2)*8.34*$W$7*($W$3/100))*($W$4/100))+
((X22*8.34*$X$7*($X$3/100))*($X$4/100))+((Y22*8.34*$Y$7*($Y$3/100))*($Y$4/100))</f>
        <v>11445.298920000001</v>
      </c>
      <c r="AJ22" s="54">
        <f t="shared" si="4"/>
        <v>0.16611464325108855</v>
      </c>
      <c r="AK22" s="54">
        <f t="shared" si="5"/>
        <v>3.6105043911671929E-2</v>
      </c>
      <c r="AM22" s="103">
        <f>((((C22*8.34*$C$7*($C$3/100))*($C$4/100))/($C$5+$C$6))*$C$5)
+(((('Jan''16'!C22*8.34*$D$7*($D$3/100))*($D$4/100))/($D$5+$D$6))*$D$5)
+((((E22*8.34*$E$7*($E$3/100))*($E$4/100))/($E$5+$E$6))*$E$5)
+((((F22*8.34*$F$7*($F$3/100))*($F$4/100))/($F$5+$F$6))*$F$5)
+((((G22*8.34*$G$7*($G$3/100))*($G$4/100))/($G$5+$G$6))*$G$5)
+((((H22*8.34*$H$7*($H$3/100))*($H$4/100))/($H$5+$H$6))*$H$5)
+((((I22*8.34*$I$7*($I$3/100))*($I$4/100))/($I$5+$I$6))*$I$5)
+((((J22*8.34*$J$7*($J$3/100))*($J$4/100))/($J$5+$J$6))*$J$5)
+((((K22*8.34*$K$7*($K$3/100))*($K$4/100))/($K$5+$K$6))*$K$5)
+((((L22*8.34*$L$7*($L$3/100))*($L$4/100))/($L$5+$L$6))*$L$5)
+((((M22*8.34*$M$7*($M$3/100))*($M$4/100))/($M$5+$M$6))*$M$5)
+((((N22*8.34*$N$7*($N$3/100))*($N$4/100))/($N$5+$N$6))*$N$5)
+((((P22*8.34*$P$7*($P$3/100))*($P$4/100))/($P$5+$P$6))*$P$5)
+((((Q22*8.34*$Q$7*($Q$3/100))*($Q$4/100))/($Q$5+$Q$6))*$Q$5)
+((((R22*8.34*$R$7*($R$3/100))*($R$4/100))/($R$5+$R$6))*$R$5)
+((((V22*8.34*$V$7*($V$3/100))*($V$4/100))/($V$5+$V$6))*$V$5)
+(((((W22*$W$2)*8.34*$W$7*($W$3/100))*($W$4/100))/($W$5+$W$6))*$W$5)
+((((X22*8.34*$X$7*($X$3/100))*($X$4/100))/($X$5+$X$6))*$X$5)
+((((Y22*8.34*$Y$7*($Y$3/100))*($Y$4/100))/($Y$5+$Y$6))*$Y$5)</f>
        <v>10904.526117069843</v>
      </c>
      <c r="AN22" s="103">
        <f>((((C22*8.34*$C$7*($C$3/100))*($C$4/100))/($C$5+$C$6))*$C$6)
+(((('Jan''16'!C22*8.34*$D$7*($D$3/100))*($D$4/100))/($D$5+$D$6))*$D$6)
+((((E22*8.34*$E$7*($E$3/100))*($E$4/100))/($E$5+$E$6))*$E$6)
+((((F22*8.34*$F$7*($F$3/100))*($F$4/100))/($F$5+$F$6))*$F$6)
+((((G22*8.34*$G$7*($G$3/100))*($G$4/100))/($G$5+$G$6))*$G$6)
+((((H22*8.34*$H$7*($H$3/100))*($H$4/100))/($H$5+$H$6))*$H$6)
+((((I22*8.34*$I$7*($I$3/100))*($I$4/100))/($I$5+$I$6))*$I$6)
+((((J22*8.34*$J$7*($J$3/100))*($J$4/100))/($J$5+$J$6))*$J$6)
+((((K22*8.34*$K$7*($K$3/100))*($K$4/100))/($K$5+$K$6))*$K$6)
+((((L22*8.34*$L$7*($L$3/100))*($L$4/100))/($L$5+$L$6))*$L$6)
+((((M22*8.34*$M$7*($M$3/100))*($M$4/100))/($M$5+$M$6))*$M$6)
+((((N22*8.34*$N$7*($N$3/100))*($N$4/100))/($N$5+$N$6))*$N$6)
+((((P22*8.34*$P$7*($P$3/100))*($P$4/100))/($P$5+$P$6))*$P$6)
+((((Q22*8.34*$Q$7*($Q$3/100))*($Q$4/100))/($Q$5+$Q$6))*$Q$6)
+((((R22*8.34*$R$7*($R$3/100))*($R$4/100))/($R$5+$R$6))*$R$6)
+((((V22*8.34*$V$7*($V$3/100))*($V$4/100))/($V$5+$V$6))*$V$6)
+(((((W22*$W$2) *8.34*$W$7*($W$3/100))*($W$4/100))/($W$5+$W$6))*$W$6)
+((((X22*8.34*$X$7*($X$3/100))*($X$4/100))/($X$5+$X$6))*$X$6)
+((((Y22*8.34*$Y$7*($Y$3/100))*($Y$4/100))/($Y$5+$Y$6))*$Y$6)</f>
        <v>540.77280293015792</v>
      </c>
      <c r="AO22" s="46">
        <f t="shared" si="6"/>
        <v>20.164708835178214</v>
      </c>
      <c r="AP22" s="69">
        <v>1</v>
      </c>
      <c r="AR22" s="36">
        <f>(C22*($C$3/100)*($C$4/100)*$C$7*8.34*0.000453592*$C$8)+
('Jan''16'!C22*($D$3/100)*($D$4/100)*$D$7*8.34*0.000453592*$D$8)+
(E22*($E$3/100)*($E$4/100)*$E$7*8.34*0.000453592*$E$8)+
(F22*($F$3/100)*($F$4/100)*$F$7*8.34*0.000453592*$F$8)+
(G22*($G$3/100)*($G$4/100)*$G$7*8.34*0.000453592*$G$8)+
(H22*($H$3/100)*($H$4/100)*$H$7*8.34*0.000453592*$H$8)+
(I22*($I$3/100)*($I$4/100)*$I$7*8.34*0.000453592*$I$8)+
(J22*($J$3/100)*($J$4/100)*$J$7*8.34*0.000453592*$J$8)+
(K22*($K$3/100)*($K$4/100)*$K$7*8.34*0.000453592*$K$8)+
(L22*($L$3/100)*($L$4/100)*$L$7*8.34*0.000453592*$L$8)+
(M22*($M$3/100)*($M$4/100)*$M$7*8.34*0.000453592*$M$8)+
(N22*($N$3/100)*($N$4/100)*$N$7*8.34*0.000453592*$N$8)+
(P22*($P$3/100)*($P$4/100)*$P$7*8.34*0.000453592*$P$8)+
(Q22*($Q$3/100)*($Q$4/100)*$Q$7*8.34*0.000453592*$Q$8)+
(R22*($R$3/100)*($R$4/100)*$R$7*8.34*0.000453592*$R$8)+
(V22*($V$3/100)*($V$4/100)*$V$7*8.34*0.000453592*$V$8)+
(W22*$W$2*($W$3/100)*($BW$4/100)*$W$7*8.34*0.000453592*$W$8)+
(X22*($X$3/100)*($X$4/100)*$X$7*8.34*0.000453592*$X$8)+
(Y22*($Y$3/100)*($Y$4/100)*$Y$7*8.34*0.000453592*$Y$8)</f>
        <v>2586.0220306934398</v>
      </c>
      <c r="AS22" s="36">
        <f t="shared" si="7"/>
        <v>6020.259287454327</v>
      </c>
      <c r="AV22" s="55"/>
    </row>
    <row r="23" spans="1:48" s="35" customFormat="1">
      <c r="A23" t="s">
        <v>81</v>
      </c>
      <c r="B23" s="35">
        <v>13</v>
      </c>
      <c r="C23" s="24">
        <v>4000</v>
      </c>
      <c r="D23" s="25">
        <v>2000</v>
      </c>
      <c r="E23" s="25">
        <f>900+1000</f>
        <v>1900</v>
      </c>
      <c r="F23" s="30">
        <v>300</v>
      </c>
      <c r="G23" s="76">
        <v>0</v>
      </c>
      <c r="H23" s="76">
        <v>0</v>
      </c>
      <c r="I23" s="76">
        <v>0</v>
      </c>
      <c r="J23" s="76">
        <v>0</v>
      </c>
      <c r="K23" s="78">
        <v>0</v>
      </c>
      <c r="L23" s="76">
        <v>0</v>
      </c>
      <c r="M23" s="76">
        <v>0</v>
      </c>
      <c r="N23" s="76">
        <v>0</v>
      </c>
      <c r="O23" s="53">
        <v>13</v>
      </c>
      <c r="P23" s="24">
        <f>1000+5000</f>
        <v>6000</v>
      </c>
      <c r="Q23" s="25">
        <v>1000</v>
      </c>
      <c r="R23" s="76">
        <v>0</v>
      </c>
      <c r="S23" s="78">
        <v>0</v>
      </c>
      <c r="T23" s="76">
        <v>0</v>
      </c>
      <c r="U23" s="76">
        <v>0</v>
      </c>
      <c r="V23" s="78">
        <v>0</v>
      </c>
      <c r="W23" s="30">
        <v>5</v>
      </c>
      <c r="X23" s="78">
        <v>0</v>
      </c>
      <c r="Y23" s="76">
        <v>0</v>
      </c>
      <c r="Z23" s="76">
        <v>0</v>
      </c>
      <c r="AA23" s="44"/>
      <c r="AC23" s="34">
        <f t="shared" si="0"/>
        <v>8200</v>
      </c>
      <c r="AD23" s="34">
        <f t="shared" si="8"/>
        <v>7180</v>
      </c>
      <c r="AE23" s="34">
        <f t="shared" si="1"/>
        <v>15380</v>
      </c>
      <c r="AF23" s="73">
        <f t="shared" si="2"/>
        <v>53.315994798439533</v>
      </c>
      <c r="AG23" s="73">
        <f t="shared" si="3"/>
        <v>46.684005201560467</v>
      </c>
      <c r="AI23" s="71">
        <f>((C23*8.34*$C$7*($C$3/100))*($C$4/100))+(('Jan''16'!C23*8.34*$D$7*($D$3/100))*($D$4/100))+ ((E23*8.34*$E$7*($E$3/100))*($E$4/100))+((F23*8.34*$F$7*($F$3/100))*($F$4/100))+ ((G23*8.34*$G$7*($G$3/100))*($G$4/100))+((H23*8.34*$H$7*($H$3/100))*($H$4/100))+ ((I23*8.34*$I$7*($I$3/100))*($I$4/100))+((J23*8.34*$J$7*($J$3/100))*($J$4/100))+ ((K23*8.34*$K$7*($K$3/100))*($K$4/100))+((L23*8.34*$L$7*($L$3/100))*($L$4/100))+ ((M23*8.34*$M$7*($M$3/100))*($M$4/100))+((N23*8.34*$N$7*($N$3/100))*($N$4/100))+ ((P23*8.34*$P$7*($P$3/100))*($P$4/100))+((Q23*8.34*$Q$7*($Q$3/100))*($Q$4/100))+
((R23*8.34*$R$7*($R$3/100))*($R$4/100))+((S23*8.34*$S$7*($S$3/100))*($S$4/100))+
((V23*8.34*$V$7*($V$3/100))*($V$4/100))+(((W23*$W$2)*8.34*$W$7*($W$3/100))*($W$4/100))+
((X23*8.34*$X$7*($X$3/100))*($X$4/100))+((Y23*8.34*$Y$7*($Y$3/100))*($Y$4/100))</f>
        <v>13299.97731</v>
      </c>
      <c r="AJ23" s="54">
        <f t="shared" si="4"/>
        <v>0.19303305239477503</v>
      </c>
      <c r="AK23" s="54">
        <f t="shared" si="5"/>
        <v>4.1955764384858048E-2</v>
      </c>
      <c r="AM23" s="103">
        <f>((((C23*8.34*$C$7*($C$3/100))*($C$4/100))/($C$5+$C$6))*$C$5)
+(((('Jan''16'!C23*8.34*$D$7*($D$3/100))*($D$4/100))/($D$5+$D$6))*$D$5)
+((((E23*8.34*$E$7*($E$3/100))*($E$4/100))/($E$5+$E$6))*$E$5)
+((((F23*8.34*$F$7*($F$3/100))*($F$4/100))/($F$5+$F$6))*$F$5)
+((((G23*8.34*$G$7*($G$3/100))*($G$4/100))/($G$5+$G$6))*$G$5)
+((((H23*8.34*$H$7*($H$3/100))*($H$4/100))/($H$5+$H$6))*$H$5)
+((((I23*8.34*$I$7*($I$3/100))*($I$4/100))/($I$5+$I$6))*$I$5)
+((((J23*8.34*$J$7*($J$3/100))*($J$4/100))/($J$5+$J$6))*$J$5)
+((((K23*8.34*$K$7*($K$3/100))*($K$4/100))/($K$5+$K$6))*$K$5)
+((((L23*8.34*$L$7*($L$3/100))*($L$4/100))/($L$5+$L$6))*$L$5)
+((((M23*8.34*$M$7*($M$3/100))*($M$4/100))/($M$5+$M$6))*$M$5)
+((((N23*8.34*$N$7*($N$3/100))*($N$4/100))/($N$5+$N$6))*$N$5)
+((((P23*8.34*$P$7*($P$3/100))*($P$4/100))/($P$5+$P$6))*$P$5)
+((((Q23*8.34*$Q$7*($Q$3/100))*($Q$4/100))/($Q$5+$Q$6))*$Q$5)
+((((R23*8.34*$R$7*($R$3/100))*($R$4/100))/($R$5+$R$6))*$R$5)
+((((V23*8.34*$V$7*($V$3/100))*($V$4/100))/($V$5+$V$6))*$V$5)
+(((((W23*$W$2)*8.34*$W$7*($W$3/100))*($W$4/100))/($W$5+$W$6))*$W$5)
+((((X23*8.34*$X$7*($X$3/100))*($X$4/100))/($X$5+$X$6))*$X$5)
+((((Y23*8.34*$Y$7*($Y$3/100))*($Y$4/100))/($Y$5+$Y$6))*$Y$5)</f>
        <v>12585.798833647841</v>
      </c>
      <c r="AN23" s="103">
        <f>((((C23*8.34*$C$7*($C$3/100))*($C$4/100))/($C$5+$C$6))*$C$6)
+(((('Jan''16'!C23*8.34*$D$7*($D$3/100))*($D$4/100))/($D$5+$D$6))*$D$6)
+((((E23*8.34*$E$7*($E$3/100))*($E$4/100))/($E$5+$E$6))*$E$6)
+((((F23*8.34*$F$7*($F$3/100))*($F$4/100))/($F$5+$F$6))*$F$6)
+((((G23*8.34*$G$7*($G$3/100))*($G$4/100))/($G$5+$G$6))*$G$6)
+((((H23*8.34*$H$7*($H$3/100))*($H$4/100))/($H$5+$H$6))*$H$6)
+((((I23*8.34*$I$7*($I$3/100))*($I$4/100))/($I$5+$I$6))*$I$6)
+((((J23*8.34*$J$7*($J$3/100))*($J$4/100))/($J$5+$J$6))*$J$6)
+((((K23*8.34*$K$7*($K$3/100))*($K$4/100))/($K$5+$K$6))*$K$6)
+((((L23*8.34*$L$7*($L$3/100))*($L$4/100))/($L$5+$L$6))*$L$6)
+((((M23*8.34*$M$7*($M$3/100))*($M$4/100))/($M$5+$M$6))*$M$6)
+((((N23*8.34*$N$7*($N$3/100))*($N$4/100))/($N$5+$N$6))*$N$6)
+((((P23*8.34*$P$7*($P$3/100))*($P$4/100))/($P$5+$P$6))*$P$6)
+((((Q23*8.34*$Q$7*($Q$3/100))*($Q$4/100))/($Q$5+$Q$6))*$Q$6)
+((((R23*8.34*$R$7*($R$3/100))*($R$4/100))/($R$5+$R$6))*$R$6)
+((((V23*8.34*$V$7*($V$3/100))*($V$4/100))/($V$5+$V$6))*$V$6)
+(((((W23*$W$2) *8.34*$W$7*($W$3/100))*($W$4/100))/($W$5+$W$6))*$W$6)
+((((X23*8.34*$X$7*($X$3/100))*($X$4/100))/($X$5+$X$6))*$X$6)
+((((Y23*8.34*$Y$7*($Y$3/100))*($Y$4/100))/($Y$5+$Y$6))*$Y$6)</f>
        <v>714.17847635215787</v>
      </c>
      <c r="AO23" s="46">
        <f t="shared" si="6"/>
        <v>17.622764127438987</v>
      </c>
      <c r="AP23" s="69">
        <v>1</v>
      </c>
      <c r="AR23" s="36">
        <f>(C23*($C$3/100)*($C$4/100)*$C$7*8.34*0.000453592*$C$8)+
('Jan''16'!C23*($D$3/100)*($D$4/100)*$D$7*8.34*0.000453592*$D$8)+
(E23*($E$3/100)*($E$4/100)*$E$7*8.34*0.000453592*$E$8)+
(F23*($F$3/100)*($F$4/100)*$F$7*8.34*0.000453592*$F$8)+
(G23*($G$3/100)*($G$4/100)*$G$7*8.34*0.000453592*$G$8)+
(H23*($H$3/100)*($H$4/100)*$H$7*8.34*0.000453592*$H$8)+
(I23*($I$3/100)*($I$4/100)*$I$7*8.34*0.000453592*$I$8)+
(J23*($J$3/100)*($J$4/100)*$J$7*8.34*0.000453592*$J$8)+
(K23*($K$3/100)*($K$4/100)*$K$7*8.34*0.000453592*$K$8)+
(L23*($L$3/100)*($L$4/100)*$L$7*8.34*0.000453592*$L$8)+
(M23*($M$3/100)*($M$4/100)*$M$7*8.34*0.000453592*$M$8)+
(N23*($N$3/100)*($N$4/100)*$N$7*8.34*0.000453592*$N$8)+
(P23*($P$3/100)*($P$4/100)*$P$7*8.34*0.000453592*$P$8)+
(Q23*($Q$3/100)*($Q$4/100)*$Q$7*8.34*0.000453592*$Q$8)+
(R23*($R$3/100)*($R$4/100)*$R$7*8.34*0.000453592*$R$8)+
(V23*($V$3/100)*($V$4/100)*$V$7*8.34*0.000453592*$V$8)+
(W23*$W$2*($W$3/100)*($BW$4/100)*$W$7*8.34*0.000453592*$W$8)+
(X23*($X$3/100)*($X$4/100)*$X$7*8.34*0.000453592*$X$8)+
(Y23*($Y$3/100)*($Y$4/100)*$Y$7*8.34*0.000453592*$Y$8)</f>
        <v>2971.8624508630992</v>
      </c>
      <c r="AS23" s="36">
        <f t="shared" si="7"/>
        <v>6918.4957856092942</v>
      </c>
      <c r="AV23" s="55"/>
    </row>
    <row r="24" spans="1:48" s="35" customFormat="1">
      <c r="A24" t="s">
        <v>84</v>
      </c>
      <c r="B24" s="35">
        <v>14</v>
      </c>
      <c r="C24" s="24">
        <v>4000</v>
      </c>
      <c r="D24" s="25">
        <v>2000</v>
      </c>
      <c r="E24" s="78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25">
        <v>4000</v>
      </c>
      <c r="L24" s="76">
        <v>0</v>
      </c>
      <c r="M24" s="76">
        <v>0</v>
      </c>
      <c r="N24" s="76">
        <v>0</v>
      </c>
      <c r="O24" s="53">
        <v>14</v>
      </c>
      <c r="P24" s="80">
        <v>0</v>
      </c>
      <c r="Q24" s="25">
        <v>1000</v>
      </c>
      <c r="R24" s="76">
        <v>0</v>
      </c>
      <c r="S24" s="25">
        <v>25</v>
      </c>
      <c r="T24" s="76">
        <v>0</v>
      </c>
      <c r="U24" s="76">
        <v>0</v>
      </c>
      <c r="V24" s="78">
        <v>0</v>
      </c>
      <c r="W24" s="76">
        <v>0</v>
      </c>
      <c r="X24" s="25">
        <v>325</v>
      </c>
      <c r="Y24" s="76">
        <v>0</v>
      </c>
      <c r="Z24" s="76">
        <v>0</v>
      </c>
      <c r="AA24" s="44"/>
      <c r="AC24" s="34">
        <f t="shared" si="0"/>
        <v>10000</v>
      </c>
      <c r="AD24" s="34">
        <f t="shared" si="8"/>
        <v>1350</v>
      </c>
      <c r="AE24" s="34">
        <f t="shared" si="1"/>
        <v>11350</v>
      </c>
      <c r="AF24" s="73">
        <f t="shared" si="2"/>
        <v>88.105726872246692</v>
      </c>
      <c r="AG24" s="73">
        <f t="shared" si="3"/>
        <v>11.894273127753303</v>
      </c>
      <c r="AI24" s="71">
        <f>((C24*8.34*$C$7*($C$3/100))*($C$4/100))+(('Jan''16'!C24*8.34*$D$7*($D$3/100))*($D$4/100))+ ((E24*8.34*$E$7*($E$3/100))*($E$4/100))+((F24*8.34*$F$7*($F$3/100))*($F$4/100))+ ((G24*8.34*$G$7*($G$3/100))*($G$4/100))+((H24*8.34*$H$7*($H$3/100))*($H$4/100))+ ((I24*8.34*$I$7*($I$3/100))*($I$4/100))+((J24*8.34*$J$7*($J$3/100))*($J$4/100))+ ((K24*8.34*$K$7*($K$3/100))*($K$4/100))+((L24*8.34*$L$7*($L$3/100))*($L$4/100))+ ((M24*8.34*$M$7*($M$3/100))*($M$4/100))+((N24*8.34*$N$7*($N$3/100))*($N$4/100))+ ((P24*8.34*$P$7*($P$3/100))*($P$4/100))+((Q24*8.34*$Q$7*($Q$3/100))*($Q$4/100))+
((R24*8.34*$R$7*($R$3/100))*($R$4/100))+((S24*8.34*$S$7*($S$3/100))*($S$4/100))+
((V24*8.34*$V$7*($V$3/100))*($V$4/100))+(((W24*$W$2)*8.34*$W$7*($W$3/100))*($W$4/100))+
((X24*8.34*$X$7*($X$3/100))*($X$4/100))+((Y24*8.34*$Y$7*($Y$3/100))*($Y$4/100))</f>
        <v>7886.7877200000003</v>
      </c>
      <c r="AJ24" s="54">
        <f t="shared" si="4"/>
        <v>0.11446716574746009</v>
      </c>
      <c r="AK24" s="54">
        <f t="shared" si="5"/>
        <v>2.4879456529968456E-2</v>
      </c>
      <c r="AM24" s="103">
        <f>((((C24*8.34*$C$7*($C$3/100))*($C$4/100))/($C$5+$C$6))*$C$5)
+(((('Jan''16'!C24*8.34*$D$7*($D$3/100))*($D$4/100))/($D$5+$D$6))*$D$5)
+((((E24*8.34*$E$7*($E$3/100))*($E$4/100))/($E$5+$E$6))*$E$5)
+((((F24*8.34*$F$7*($F$3/100))*($F$4/100))/($F$5+$F$6))*$F$5)
+((((G24*8.34*$G$7*($G$3/100))*($G$4/100))/($G$5+$G$6))*$G$5)
+((((H24*8.34*$H$7*($H$3/100))*($H$4/100))/($H$5+$H$6))*$H$5)
+((((I24*8.34*$I$7*($I$3/100))*($I$4/100))/($I$5+$I$6))*$I$5)
+((((J24*8.34*$J$7*($J$3/100))*($J$4/100))/($J$5+$J$6))*$J$5)
+((((K24*8.34*$K$7*($K$3/100))*($K$4/100))/($K$5+$K$6))*$K$5)
+((((L24*8.34*$L$7*($L$3/100))*($L$4/100))/($L$5+$L$6))*$L$5)
+((((M24*8.34*$M$7*($M$3/100))*($M$4/100))/($M$5+$M$6))*$M$5)
+((((N24*8.34*$N$7*($N$3/100))*($N$4/100))/($N$5+$N$6))*$N$5)
+((((P24*8.34*$P$7*($P$3/100))*($P$4/100))/($P$5+$P$6))*$P$5)
+((((Q24*8.34*$Q$7*($Q$3/100))*($Q$4/100))/($Q$5+$Q$6))*$Q$5)
+((((R24*8.34*$R$7*($R$3/100))*($R$4/100))/($R$5+$R$6))*$R$5)
+((((V24*8.34*$V$7*($V$3/100))*($V$4/100))/($V$5+$V$6))*$V$5)
+(((((W24*$W$2)*8.34*$W$7*($W$3/100))*($W$4/100))/($W$5+$W$6))*$W$5)
+((((X24*8.34*$X$7*($X$3/100))*($X$4/100))/($X$5+$X$6))*$X$5)
+((((Y24*8.34*$Y$7*($Y$3/100))*($Y$4/100))/($Y$5+$Y$6))*$Y$5)</f>
        <v>7483.7616757685691</v>
      </c>
      <c r="AN24" s="103">
        <f>((((C24*8.34*$C$7*($C$3/100))*($C$4/100))/($C$5+$C$6))*$C$6)
+(((('Jan''16'!C24*8.34*$D$7*($D$3/100))*($D$4/100))/($D$5+$D$6))*$D$6)
+((((E24*8.34*$E$7*($E$3/100))*($E$4/100))/($E$5+$E$6))*$E$6)
+((((F24*8.34*$F$7*($F$3/100))*($F$4/100))/($F$5+$F$6))*$F$6)
+((((G24*8.34*$G$7*($G$3/100))*($G$4/100))/($G$5+$G$6))*$G$6)
+((((H24*8.34*$H$7*($H$3/100))*($H$4/100))/($H$5+$H$6))*$H$6)
+((((I24*8.34*$I$7*($I$3/100))*($I$4/100))/($I$5+$I$6))*$I$6)
+((((J24*8.34*$J$7*($J$3/100))*($J$4/100))/($J$5+$J$6))*$J$6)
+((((K24*8.34*$K$7*($K$3/100))*($K$4/100))/($K$5+$K$6))*$K$6)
+((((L24*8.34*$L$7*($L$3/100))*($L$4/100))/($L$5+$L$6))*$L$6)
+((((M24*8.34*$M$7*($M$3/100))*($M$4/100))/($M$5+$M$6))*$M$6)
+((((N24*8.34*$N$7*($N$3/100))*($N$4/100))/($N$5+$N$6))*$N$6)
+((((P24*8.34*$P$7*($P$3/100))*($P$4/100))/($P$5+$P$6))*$P$6)
+((((Q24*8.34*$Q$7*($Q$3/100))*($Q$4/100))/($Q$5+$Q$6))*$Q$6)
+((((R24*8.34*$R$7*($R$3/100))*($R$4/100))/($R$5+$R$6))*$R$6)
+((((V24*8.34*$V$7*($V$3/100))*($V$4/100))/($V$5+$V$6))*$V$6)
+(((((W24*$W$2) *8.34*$W$7*($W$3/100))*($W$4/100))/($W$5+$W$6))*$W$6)
+((((X24*8.34*$X$7*($X$3/100))*($X$4/100))/($X$5+$X$6))*$X$6)
+((((Y24*8.34*$Y$7*($Y$3/100))*($Y$4/100))/($Y$5+$Y$6))*$Y$6)</f>
        <v>403.02604423143089</v>
      </c>
      <c r="AO24" s="46">
        <f t="shared" si="6"/>
        <v>18.56892819430584</v>
      </c>
      <c r="AP24" s="69">
        <v>1</v>
      </c>
      <c r="AR24" s="36">
        <f>(C24*($C$3/100)*($C$4/100)*$C$7*8.34*0.000453592*$C$8)+
('Jan''16'!C24*($D$3/100)*($D$4/100)*$D$7*8.34*0.000453592*$D$8)+
(E24*($E$3/100)*($E$4/100)*$E$7*8.34*0.000453592*$E$8)+
(F24*($F$3/100)*($F$4/100)*$F$7*8.34*0.000453592*$F$8)+
(G24*($G$3/100)*($G$4/100)*$G$7*8.34*0.000453592*$G$8)+
(H24*($H$3/100)*($H$4/100)*$H$7*8.34*0.000453592*$H$8)+
(I24*($I$3/100)*($I$4/100)*$I$7*8.34*0.000453592*$I$8)+
(J24*($J$3/100)*($J$4/100)*$J$7*8.34*0.000453592*$J$8)+
(K24*($K$3/100)*($K$4/100)*$K$7*8.34*0.000453592*$K$8)+
(L24*($L$3/100)*($L$4/100)*$L$7*8.34*0.000453592*$L$8)+
(M24*($M$3/100)*($M$4/100)*$M$7*8.34*0.000453592*$M$8)+
(N24*($N$3/100)*($N$4/100)*$N$7*8.34*0.000453592*$N$8)+
(P24*($P$3/100)*($P$4/100)*$P$7*8.34*0.000453592*$P$8)+
(Q24*($Q$3/100)*($Q$4/100)*$Q$7*8.34*0.000453592*$Q$8)+
(R24*($R$3/100)*($R$4/100)*$R$7*8.34*0.000453592*$R$8)+
(V24*($V$3/100)*($V$4/100)*$V$7*8.34*0.000453592*$V$8)+
(W24*$W$2*($W$3/100)*($BW$4/100)*$W$7*8.34*0.000453592*$W$8)+
(X24*($X$3/100)*($X$4/100)*$X$7*8.34*0.000453592*$X$8)+
(Y24*($Y$3/100)*($Y$4/100)*$Y$7*8.34*0.000453592*$Y$8)</f>
        <v>1901.9801294092802</v>
      </c>
      <c r="AS24" s="36">
        <f t="shared" si="7"/>
        <v>4427.809741264804</v>
      </c>
      <c r="AV24" s="55"/>
    </row>
    <row r="25" spans="1:48" s="35" customFormat="1">
      <c r="A25" t="s">
        <v>85</v>
      </c>
      <c r="B25" s="35">
        <v>15</v>
      </c>
      <c r="C25" s="24">
        <v>4000</v>
      </c>
      <c r="D25" s="25">
        <v>2000</v>
      </c>
      <c r="E25" s="78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25">
        <f>2*2000</f>
        <v>4000</v>
      </c>
      <c r="L25" s="76">
        <v>0</v>
      </c>
      <c r="M25" s="76">
        <v>0</v>
      </c>
      <c r="N25" s="76">
        <v>0</v>
      </c>
      <c r="O25" s="53">
        <v>15</v>
      </c>
      <c r="P25" s="80">
        <v>0</v>
      </c>
      <c r="Q25" s="25">
        <v>800</v>
      </c>
      <c r="R25" s="76">
        <v>0</v>
      </c>
      <c r="S25" s="25">
        <v>25</v>
      </c>
      <c r="T25" s="76">
        <v>0</v>
      </c>
      <c r="U25" s="76">
        <v>0</v>
      </c>
      <c r="V25" s="78">
        <v>0</v>
      </c>
      <c r="W25" s="76">
        <v>0</v>
      </c>
      <c r="X25" s="78">
        <v>0</v>
      </c>
      <c r="Y25" s="76">
        <v>0</v>
      </c>
      <c r="Z25" s="76">
        <v>0</v>
      </c>
      <c r="AA25" s="44"/>
      <c r="AC25" s="34">
        <f t="shared" si="0"/>
        <v>10000</v>
      </c>
      <c r="AD25" s="34">
        <f t="shared" si="8"/>
        <v>825</v>
      </c>
      <c r="AE25" s="34">
        <f t="shared" si="1"/>
        <v>10825</v>
      </c>
      <c r="AF25" s="73">
        <f t="shared" si="2"/>
        <v>92.378752886836025</v>
      </c>
      <c r="AG25" s="73">
        <f t="shared" si="3"/>
        <v>7.6212471131639719</v>
      </c>
      <c r="AI25" s="71">
        <f>((C25*8.34*$C$7*($C$3/100))*($C$4/100))+(('Jan''16'!C25*8.34*$D$7*($D$3/100))*($D$4/100))+ ((E25*8.34*$E$7*($E$3/100))*($E$4/100))+((F25*8.34*$F$7*($F$3/100))*($F$4/100))+ ((G25*8.34*$G$7*($G$3/100))*($G$4/100))+((H25*8.34*$H$7*($H$3/100))*($H$4/100))+ ((I25*8.34*$I$7*($I$3/100))*($I$4/100))+((J25*8.34*$J$7*($J$3/100))*($J$4/100))+ ((K25*8.34*$K$7*($K$3/100))*($K$4/100))+((L25*8.34*$L$7*($L$3/100))*($L$4/100))+ ((M25*8.34*$M$7*($M$3/100))*($M$4/100))+((N25*8.34*$N$7*($N$3/100))*($N$4/100))+ ((P25*8.34*$P$7*($P$3/100))*($P$4/100))+((Q25*8.34*$Q$7*($Q$3/100))*($Q$4/100))+
((R25*8.34*$R$7*($R$3/100))*($R$4/100))+((S25*8.34*$S$7*($S$3/100))*($S$4/100))+
((V25*8.34*$V$7*($V$3/100))*($V$4/100))+(((W25*$W$2)*8.34*$W$7*($W$3/100))*($W$4/100))+
((X25*8.34*$X$7*($X$3/100))*($X$4/100))+((Y25*8.34*$Y$7*($Y$3/100))*($Y$4/100))</f>
        <v>6944.2009200000011</v>
      </c>
      <c r="AJ25" s="54">
        <f t="shared" si="4"/>
        <v>0.10078666066763427</v>
      </c>
      <c r="AK25" s="54">
        <f t="shared" si="5"/>
        <v>2.1905996593059942E-2</v>
      </c>
      <c r="AM25" s="103">
        <f>((((C25*8.34*$C$7*($C$3/100))*($C$4/100))/($C$5+$C$6))*$C$5)
+(((('Jan''16'!C25*8.34*$D$7*($D$3/100))*($D$4/100))/($D$5+$D$6))*$D$5)
+((((E25*8.34*$E$7*($E$3/100))*($E$4/100))/($E$5+$E$6))*$E$5)
+((((F25*8.34*$F$7*($F$3/100))*($F$4/100))/($F$5+$F$6))*$F$5)
+((((G25*8.34*$G$7*($G$3/100))*($G$4/100))/($G$5+$G$6))*$G$5)
+((((H25*8.34*$H$7*($H$3/100))*($H$4/100))/($H$5+$H$6))*$H$5)
+((((I25*8.34*$I$7*($I$3/100))*($I$4/100))/($I$5+$I$6))*$I$5)
+((((J25*8.34*$J$7*($J$3/100))*($J$4/100))/($J$5+$J$6))*$J$5)
+((((K25*8.34*$K$7*($K$3/100))*($K$4/100))/($K$5+$K$6))*$K$5)
+((((L25*8.34*$L$7*($L$3/100))*($L$4/100))/($L$5+$L$6))*$L$5)
+((((M25*8.34*$M$7*($M$3/100))*($M$4/100))/($M$5+$M$6))*$M$5)
+((((N25*8.34*$N$7*($N$3/100))*($N$4/100))/($N$5+$N$6))*$N$5)
+((((P25*8.34*$P$7*($P$3/100))*($P$4/100))/($P$5+$P$6))*$P$5)
+((((Q25*8.34*$Q$7*($Q$3/100))*($Q$4/100))/($Q$5+$Q$6))*$Q$5)
+((((R25*8.34*$R$7*($R$3/100))*($R$4/100))/($R$5+$R$6))*$R$5)
+((((V25*8.34*$V$7*($V$3/100))*($V$4/100))/($V$5+$V$6))*$V$5)
+(((((W25*$W$2)*8.34*$W$7*($W$3/100))*($W$4/100))/($W$5+$W$6))*$W$5)
+((((X25*8.34*$X$7*($X$3/100))*($X$4/100))/($X$5+$X$6))*$X$5)
+((((Y25*8.34*$Y$7*($Y$3/100))*($Y$4/100))/($Y$5+$Y$6))*$Y$5)</f>
        <v>6558.0318992480607</v>
      </c>
      <c r="AN25" s="103">
        <f>((((C25*8.34*$C$7*($C$3/100))*($C$4/100))/($C$5+$C$6))*$C$6)
+(((('Jan''16'!C25*8.34*$D$7*($D$3/100))*($D$4/100))/($D$5+$D$6))*$D$6)
+((((E25*8.34*$E$7*($E$3/100))*($E$4/100))/($E$5+$E$6))*$E$6)
+((((F25*8.34*$F$7*($F$3/100))*($F$4/100))/($F$5+$F$6))*$F$6)
+((((G25*8.34*$G$7*($G$3/100))*($G$4/100))/($G$5+$G$6))*$G$6)
+((((H25*8.34*$H$7*($H$3/100))*($H$4/100))/($H$5+$H$6))*$H$6)
+((((I25*8.34*$I$7*($I$3/100))*($I$4/100))/($I$5+$I$6))*$I$6)
+((((J25*8.34*$J$7*($J$3/100))*($J$4/100))/($J$5+$J$6))*$J$6)
+((((K25*8.34*$K$7*($K$3/100))*($K$4/100))/($K$5+$K$6))*$K$6)
+((((L25*8.34*$L$7*($L$3/100))*($L$4/100))/($L$5+$L$6))*$L$6)
+((((M25*8.34*$M$7*($M$3/100))*($M$4/100))/($M$5+$M$6))*$M$6)
+((((N25*8.34*$N$7*($N$3/100))*($N$4/100))/($N$5+$N$6))*$N$6)
+((((P25*8.34*$P$7*($P$3/100))*($P$4/100))/($P$5+$P$6))*$P$6)
+((((Q25*8.34*$Q$7*($Q$3/100))*($Q$4/100))/($Q$5+$Q$6))*$Q$6)
+((((R25*8.34*$R$7*($R$3/100))*($R$4/100))/($R$5+$R$6))*$R$6)
+((((V25*8.34*$V$7*($V$3/100))*($V$4/100))/($V$5+$V$6))*$V$6)
+(((((W25*$W$2) *8.34*$W$7*($W$3/100))*($W$4/100))/($W$5+$W$6))*$W$6)
+((((X25*8.34*$X$7*($X$3/100))*($X$4/100))/($X$5+$X$6))*$X$6)
+((((Y25*8.34*$Y$7*($Y$3/100))*($Y$4/100))/($Y$5+$Y$6))*$Y$6)</f>
        <v>386.16902075194008</v>
      </c>
      <c r="AO25" s="46">
        <f t="shared" si="6"/>
        <v>16.982283784645389</v>
      </c>
      <c r="AP25" s="69">
        <v>1</v>
      </c>
      <c r="AR25" s="36">
        <f>(C25*($C$3/100)*($C$4/100)*$C$7*8.34*0.000453592*$C$8)+
('Jan''16'!C25*($D$3/100)*($D$4/100)*$D$7*8.34*0.000453592*$D$8)+
(E25*($E$3/100)*($E$4/100)*$E$7*8.34*0.000453592*$E$8)+
(F25*($F$3/100)*($F$4/100)*$F$7*8.34*0.000453592*$F$8)+
(G25*($G$3/100)*($G$4/100)*$G$7*8.34*0.000453592*$G$8)+
(H25*($H$3/100)*($H$4/100)*$H$7*8.34*0.000453592*$H$8)+
(I25*($I$3/100)*($I$4/100)*$I$7*8.34*0.000453592*$I$8)+
(J25*($J$3/100)*($J$4/100)*$J$7*8.34*0.000453592*$J$8)+
(K25*($K$3/100)*($K$4/100)*$K$7*8.34*0.000453592*$K$8)+
(L25*($L$3/100)*($L$4/100)*$L$7*8.34*0.000453592*$L$8)+
(M25*($M$3/100)*($M$4/100)*$M$7*8.34*0.000453592*$M$8)+
(N25*($N$3/100)*($N$4/100)*$N$7*8.34*0.000453592*$N$8)+
(P25*($P$3/100)*($P$4/100)*$P$7*8.34*0.000453592*$P$8)+
(Q25*($Q$3/100)*($Q$4/100)*$Q$7*8.34*0.000453592*$Q$8)+
(R25*($R$3/100)*($R$4/100)*$R$7*8.34*0.000453592*$R$8)+
(V25*($V$3/100)*($V$4/100)*$V$7*8.34*0.000453592*$V$8)+
(W25*$W$2*($W$3/100)*($BW$4/100)*$W$7*8.34*0.000453592*$W$8)+
(X25*($X$3/100)*($X$4/100)*$X$7*8.34*0.000453592*$X$8)+
(Y25*($Y$3/100)*($Y$4/100)*$Y$7*8.34*0.000453592*$Y$8)</f>
        <v>1550.89143016704</v>
      </c>
      <c r="AS25" s="36">
        <f t="shared" si="7"/>
        <v>3610.4752494288691</v>
      </c>
      <c r="AV25" s="55"/>
    </row>
    <row r="26" spans="1:48" s="35" customFormat="1">
      <c r="A26" t="s">
        <v>86</v>
      </c>
      <c r="B26" s="35">
        <v>16</v>
      </c>
      <c r="C26" s="24">
        <v>4000</v>
      </c>
      <c r="D26" s="25">
        <v>2000</v>
      </c>
      <c r="E26" s="25">
        <v>1100</v>
      </c>
      <c r="F26" s="30">
        <v>1100</v>
      </c>
      <c r="G26" s="76">
        <v>0</v>
      </c>
      <c r="H26" s="76">
        <v>0</v>
      </c>
      <c r="I26" s="76">
        <v>0</v>
      </c>
      <c r="J26" s="76">
        <v>0</v>
      </c>
      <c r="K26" s="25">
        <v>4000</v>
      </c>
      <c r="L26" s="76">
        <v>0</v>
      </c>
      <c r="M26" s="76">
        <v>0</v>
      </c>
      <c r="N26" s="76">
        <v>0</v>
      </c>
      <c r="O26" s="53">
        <v>16</v>
      </c>
      <c r="P26" s="24">
        <f>600+4000</f>
        <v>4600</v>
      </c>
      <c r="Q26" s="25">
        <v>500</v>
      </c>
      <c r="R26" s="76">
        <v>0</v>
      </c>
      <c r="S26" s="25">
        <v>20</v>
      </c>
      <c r="T26" s="76">
        <v>0</v>
      </c>
      <c r="U26" s="76">
        <v>0</v>
      </c>
      <c r="V26" s="78">
        <v>0</v>
      </c>
      <c r="W26" s="30">
        <v>18</v>
      </c>
      <c r="X26" s="78">
        <v>0</v>
      </c>
      <c r="Y26" s="76">
        <v>0</v>
      </c>
      <c r="Z26" s="76">
        <v>0</v>
      </c>
      <c r="AA26" s="44"/>
      <c r="AC26" s="34">
        <f t="shared" si="0"/>
        <v>12200</v>
      </c>
      <c r="AD26" s="34">
        <f t="shared" si="8"/>
        <v>5768</v>
      </c>
      <c r="AE26" s="34">
        <f t="shared" si="1"/>
        <v>17968</v>
      </c>
      <c r="AF26" s="73">
        <f t="shared" si="2"/>
        <v>67.898486197684775</v>
      </c>
      <c r="AG26" s="73">
        <f t="shared" si="3"/>
        <v>32.101513802315225</v>
      </c>
      <c r="AI26" s="71">
        <f>((C26*8.34*$C$7*($C$3/100))*($C$4/100))+(('Jan''16'!C26*8.34*$D$7*($D$3/100))*($D$4/100))+ ((E26*8.34*$E$7*($E$3/100))*($E$4/100))+((F26*8.34*$F$7*($F$3/100))*($F$4/100))+ ((G26*8.34*$G$7*($G$3/100))*($G$4/100))+((H26*8.34*$H$7*($H$3/100))*($H$4/100))+ ((I26*8.34*$I$7*($I$3/100))*($I$4/100))+((J26*8.34*$J$7*($J$3/100))*($J$4/100))+ ((K26*8.34*$K$7*($K$3/100))*($K$4/100))+((L26*8.34*$L$7*($L$3/100))*($L$4/100))+ ((M26*8.34*$M$7*($M$3/100))*($M$4/100))+((N26*8.34*$N$7*($N$3/100))*($N$4/100))+ ((P26*8.34*$P$7*($P$3/100))*($P$4/100))+((Q26*8.34*$Q$7*($Q$3/100))*($Q$4/100))+
((R26*8.34*$R$7*($R$3/100))*($R$4/100))+((S26*8.34*$S$7*($S$3/100))*($S$4/100))+
((V26*8.34*$V$7*($V$3/100))*($V$4/100))+(((W26*$W$2)*8.34*$W$7*($W$3/100))*($W$4/100))+
((X26*8.34*$X$7*($X$3/100))*($X$4/100))+((Y26*8.34*$Y$7*($Y$3/100))*($Y$4/100))</f>
        <v>13277.892990000002</v>
      </c>
      <c r="AJ26" s="54">
        <f t="shared" si="4"/>
        <v>0.19271252525399132</v>
      </c>
      <c r="AK26" s="54">
        <f t="shared" si="5"/>
        <v>4.1886097760252372E-2</v>
      </c>
      <c r="AM26" s="103">
        <f>((((C26*8.34*$C$7*($C$3/100))*($C$4/100))/($C$5+$C$6))*$C$5)
+(((('Jan''16'!C26*8.34*$D$7*($D$3/100))*($D$4/100))/($D$5+$D$6))*$D$5)
+((((E26*8.34*$E$7*($E$3/100))*($E$4/100))/($E$5+$E$6))*$E$5)
+((((F26*8.34*$F$7*($F$3/100))*($F$4/100))/($F$5+$F$6))*$F$5)
+((((G26*8.34*$G$7*($G$3/100))*($G$4/100))/($G$5+$G$6))*$G$5)
+((((H26*8.34*$H$7*($H$3/100))*($H$4/100))/($H$5+$H$6))*$H$5)
+((((I26*8.34*$I$7*($I$3/100))*($I$4/100))/($I$5+$I$6))*$I$5)
+((((J26*8.34*$J$7*($J$3/100))*($J$4/100))/($J$5+$J$6))*$J$5)
+((((K26*8.34*$K$7*($K$3/100))*($K$4/100))/($K$5+$K$6))*$K$5)
+((((L26*8.34*$L$7*($L$3/100))*($L$4/100))/($L$5+$L$6))*$L$5)
+((((M26*8.34*$M$7*($M$3/100))*($M$4/100))/($M$5+$M$6))*$M$5)
+((((N26*8.34*$N$7*($N$3/100))*($N$4/100))/($N$5+$N$6))*$N$5)
+((((P26*8.34*$P$7*($P$3/100))*($P$4/100))/($P$5+$P$6))*$P$5)
+((((Q26*8.34*$Q$7*($Q$3/100))*($Q$4/100))/($Q$5+$Q$6))*$Q$5)
+((((R26*8.34*$R$7*($R$3/100))*($R$4/100))/($R$5+$R$6))*$R$5)
+((((V26*8.34*$V$7*($V$3/100))*($V$4/100))/($V$5+$V$6))*$V$5)
+(((((W26*$W$2)*8.34*$W$7*($W$3/100))*($W$4/100))/($W$5+$W$6))*$W$5)
+((((X26*8.34*$X$7*($X$3/100))*($X$4/100))/($X$5+$X$6))*$X$5)
+((((Y26*8.34*$Y$7*($Y$3/100))*($Y$4/100))/($Y$5+$Y$6))*$Y$5)</f>
        <v>12433.733766871479</v>
      </c>
      <c r="AN26" s="103">
        <f>((((C26*8.34*$C$7*($C$3/100))*($C$4/100))/($C$5+$C$6))*$C$6)
+(((('Jan''16'!C26*8.34*$D$7*($D$3/100))*($D$4/100))/($D$5+$D$6))*$D$6)
+((((E26*8.34*$E$7*($E$3/100))*($E$4/100))/($E$5+$E$6))*$E$6)
+((((F26*8.34*$F$7*($F$3/100))*($F$4/100))/($F$5+$F$6))*$F$6)
+((((G26*8.34*$G$7*($G$3/100))*($G$4/100))/($G$5+$G$6))*$G$6)
+((((H26*8.34*$H$7*($H$3/100))*($H$4/100))/($H$5+$H$6))*$H$6)
+((((I26*8.34*$I$7*($I$3/100))*($I$4/100))/($I$5+$I$6))*$I$6)
+((((J26*8.34*$J$7*($J$3/100))*($J$4/100))/($J$5+$J$6))*$J$6)
+((((K26*8.34*$K$7*($K$3/100))*($K$4/100))/($K$5+$K$6))*$K$6)
+((((L26*8.34*$L$7*($L$3/100))*($L$4/100))/($L$5+$L$6))*$L$6)
+((((M26*8.34*$M$7*($M$3/100))*($M$4/100))/($M$5+$M$6))*$M$6)
+((((N26*8.34*$N$7*($N$3/100))*($N$4/100))/($N$5+$N$6))*$N$6)
+((((P26*8.34*$P$7*($P$3/100))*($P$4/100))/($P$5+$P$6))*$P$6)
+((((Q26*8.34*$Q$7*($Q$3/100))*($Q$4/100))/($Q$5+$Q$6))*$Q$6)
+((((R26*8.34*$R$7*($R$3/100))*($R$4/100))/($R$5+$R$6))*$R$6)
+((((V26*8.34*$V$7*($V$3/100))*($V$4/100))/($V$5+$V$6))*$V$6)
+(((((W26*$W$2) *8.34*$W$7*($W$3/100))*($W$4/100))/($W$5+$W$6))*$W$6)
+((((X26*8.34*$X$7*($X$3/100))*($X$4/100))/($X$5+$X$6))*$X$6)
+((((Y26*8.34*$Y$7*($Y$3/100))*($Y$4/100))/($Y$5+$Y$6))*$Y$6)</f>
        <v>844.15922312852263</v>
      </c>
      <c r="AO26" s="46">
        <f t="shared" si="6"/>
        <v>14.72913335092289</v>
      </c>
      <c r="AP26" s="69">
        <v>1</v>
      </c>
      <c r="AR26" s="36">
        <f>(C26*($C$3/100)*($C$4/100)*$C$7*8.34*0.000453592*$C$8)+
('Jan''16'!C26*($D$3/100)*($D$4/100)*$D$7*8.34*0.000453592*$D$8)+
(E26*($E$3/100)*($E$4/100)*$E$7*8.34*0.000453592*$E$8)+
(F26*($F$3/100)*($F$4/100)*$F$7*8.34*0.000453592*$F$8)+
(G26*($G$3/100)*($G$4/100)*$G$7*8.34*0.000453592*$G$8)+
(H26*($H$3/100)*($H$4/100)*$H$7*8.34*0.000453592*$H$8)+
(I26*($I$3/100)*($I$4/100)*$I$7*8.34*0.000453592*$I$8)+
(J26*($J$3/100)*($J$4/100)*$J$7*8.34*0.000453592*$J$8)+
(K26*($K$3/100)*($K$4/100)*$K$7*8.34*0.000453592*$K$8)+
(L26*($L$3/100)*($L$4/100)*$L$7*8.34*0.000453592*$L$8)+
(M26*($M$3/100)*($M$4/100)*$M$7*8.34*0.000453592*$M$8)+
(N26*($N$3/100)*($N$4/100)*$N$7*8.34*0.000453592*$N$8)+
(P26*($P$3/100)*($P$4/100)*$P$7*8.34*0.000453592*$P$8)+
(Q26*($Q$3/100)*($Q$4/100)*$Q$7*8.34*0.000453592*$Q$8)+
(R26*($R$3/100)*($R$4/100)*$R$7*8.34*0.000453592*$R$8)+
(V26*($V$3/100)*($V$4/100)*$V$7*8.34*0.000453592*$V$8)+
(W26*$W$2*($W$3/100)*($BW$4/100)*$W$7*8.34*0.000453592*$W$8)+
(X26*($X$3/100)*($X$4/100)*$X$7*8.34*0.000453592*$X$8)+
(Y26*($Y$3/100)*($Y$4/100)*$Y$7*8.34*0.000453592*$Y$8)</f>
        <v>2590.1735615012303</v>
      </c>
      <c r="AS26" s="36">
        <f t="shared" si="7"/>
        <v>6029.924051174864</v>
      </c>
      <c r="AV26" s="55"/>
    </row>
    <row r="27" spans="1:48" s="35" customFormat="1">
      <c r="B27" s="35">
        <v>17</v>
      </c>
      <c r="C27" s="24">
        <v>4000</v>
      </c>
      <c r="D27" s="25">
        <v>2000</v>
      </c>
      <c r="E27" s="78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25">
        <f>2*4000</f>
        <v>8000</v>
      </c>
      <c r="L27" s="76">
        <v>0</v>
      </c>
      <c r="M27" s="76">
        <v>0</v>
      </c>
      <c r="N27" s="76">
        <v>0</v>
      </c>
      <c r="O27" s="53">
        <v>17</v>
      </c>
      <c r="P27" s="24">
        <v>900</v>
      </c>
      <c r="Q27" s="25">
        <v>2000</v>
      </c>
      <c r="R27" s="76">
        <v>0</v>
      </c>
      <c r="S27" s="25">
        <v>25</v>
      </c>
      <c r="T27" s="76">
        <v>0</v>
      </c>
      <c r="U27" s="76">
        <v>0</v>
      </c>
      <c r="V27" s="78">
        <v>3700</v>
      </c>
      <c r="W27" s="30">
        <v>24</v>
      </c>
      <c r="X27" s="25">
        <f>325*2</f>
        <v>650</v>
      </c>
      <c r="Y27" s="76">
        <v>0</v>
      </c>
      <c r="Z27" s="76">
        <v>0</v>
      </c>
      <c r="AA27" s="44"/>
      <c r="AC27" s="34">
        <f t="shared" si="0"/>
        <v>14000</v>
      </c>
      <c r="AD27" s="34">
        <f t="shared" si="8"/>
        <v>8139</v>
      </c>
      <c r="AE27" s="34">
        <f t="shared" si="1"/>
        <v>22139</v>
      </c>
      <c r="AF27" s="73">
        <f t="shared" si="2"/>
        <v>63.236821898008039</v>
      </c>
      <c r="AG27" s="73">
        <f t="shared" si="3"/>
        <v>36.763178101991961</v>
      </c>
      <c r="AI27" s="71">
        <f>((C27*8.34*$C$7*($C$3/100))*($C$4/100))+(('Jan''16'!C27*8.34*$D$7*($D$3/100))*($D$4/100))+ ((E27*8.34*$E$7*($E$3/100))*($E$4/100))+((F27*8.34*$F$7*($F$3/100))*($F$4/100))+ ((G27*8.34*$G$7*($G$3/100))*($G$4/100))+((H27*8.34*$H$7*($H$3/100))*($H$4/100))+ ((I27*8.34*$I$7*($I$3/100))*($I$4/100))+((J27*8.34*$J$7*($J$3/100))*($J$4/100))+ ((K27*8.34*$K$7*($K$3/100))*($K$4/100))+((L27*8.34*$L$7*($L$3/100))*($L$4/100))+ ((M27*8.34*$M$7*($M$3/100))*($M$4/100))+((N27*8.34*$N$7*($N$3/100))*($N$4/100))+ ((P27*8.34*$P$7*($P$3/100))*($P$4/100))+((Q27*8.34*$Q$7*($Q$3/100))*($Q$4/100))+
((R27*8.34*$R$7*($R$3/100))*($R$4/100))+((S27*8.34*$S$7*($S$3/100))*($S$4/100))+
((V27*8.34*$V$7*($V$3/100))*($V$4/100))+(((W27*$W$2)*8.34*$W$7*($W$3/100))*($W$4/100))+
((X27*8.34*$X$7*($X$3/100))*($X$4/100))+((Y27*8.34*$Y$7*($Y$3/100))*($Y$4/100))</f>
        <v>16645.689240000003</v>
      </c>
      <c r="AJ27" s="54">
        <f t="shared" si="4"/>
        <v>0.24159200638606682</v>
      </c>
      <c r="AK27" s="54">
        <f t="shared" si="5"/>
        <v>5.2510060694006322E-2</v>
      </c>
      <c r="AM27" s="103">
        <f>((((C27*8.34*$C$7*($C$3/100))*($C$4/100))/($C$5+$C$6))*$C$5)
+(((('Jan''16'!C27*8.34*$D$7*($D$3/100))*($D$4/100))/($D$5+$D$6))*$D$5)
+((((E27*8.34*$E$7*($E$3/100))*($E$4/100))/($E$5+$E$6))*$E$5)
+((((F27*8.34*$F$7*($F$3/100))*($F$4/100))/($F$5+$F$6))*$F$5)
+((((G27*8.34*$G$7*($G$3/100))*($G$4/100))/($G$5+$G$6))*$G$5)
+((((H27*8.34*$H$7*($H$3/100))*($H$4/100))/($H$5+$H$6))*$H$5)
+((((I27*8.34*$I$7*($I$3/100))*($I$4/100))/($I$5+$I$6))*$I$5)
+((((J27*8.34*$J$7*($J$3/100))*($J$4/100))/($J$5+$J$6))*$J$5)
+((((K27*8.34*$K$7*($K$3/100))*($K$4/100))/($K$5+$K$6))*$K$5)
+((((L27*8.34*$L$7*($L$3/100))*($L$4/100))/($L$5+$L$6))*$L$5)
+((((M27*8.34*$M$7*($M$3/100))*($M$4/100))/($M$5+$M$6))*$M$5)
+((((N27*8.34*$N$7*($N$3/100))*($N$4/100))/($N$5+$N$6))*$N$5)
+((((P27*8.34*$P$7*($P$3/100))*($P$4/100))/($P$5+$P$6))*$P$5)
+((((Q27*8.34*$Q$7*($Q$3/100))*($Q$4/100))/($Q$5+$Q$6))*$Q$5)
+((((R27*8.34*$R$7*($R$3/100))*($R$4/100))/($R$5+$R$6))*$R$5)
+((((V27*8.34*$V$7*($V$3/100))*($V$4/100))/($V$5+$V$6))*$V$5)
+(((((W27*$W$2)*8.34*$W$7*($W$3/100))*($W$4/100))/($W$5+$W$6))*$W$5)
+((((X27*8.34*$X$7*($X$3/100))*($X$4/100))/($X$5+$X$6))*$X$5)
+((((Y27*8.34*$Y$7*($Y$3/100))*($Y$4/100))/($Y$5+$Y$6))*$Y$5)</f>
        <v>15771.327587251426</v>
      </c>
      <c r="AN27" s="103">
        <f>((((C27*8.34*$C$7*($C$3/100))*($C$4/100))/($C$5+$C$6))*$C$6)
+(((('Jan''16'!C27*8.34*$D$7*($D$3/100))*($D$4/100))/($D$5+$D$6))*$D$6)
+((((E27*8.34*$E$7*($E$3/100))*($E$4/100))/($E$5+$E$6))*$E$6)
+((((F27*8.34*$F$7*($F$3/100))*($F$4/100))/($F$5+$F$6))*$F$6)
+((((G27*8.34*$G$7*($G$3/100))*($G$4/100))/($G$5+$G$6))*$G$6)
+((((H27*8.34*$H$7*($H$3/100))*($H$4/100))/($H$5+$H$6))*$H$6)
+((((I27*8.34*$I$7*($I$3/100))*($I$4/100))/($I$5+$I$6))*$I$6)
+((((J27*8.34*$J$7*($J$3/100))*($J$4/100))/($J$5+$J$6))*$J$6)
+((((K27*8.34*$K$7*($K$3/100))*($K$4/100))/($K$5+$K$6))*$K$6)
+((((L27*8.34*$L$7*($L$3/100))*($L$4/100))/($L$5+$L$6))*$L$6)
+((((M27*8.34*$M$7*($M$3/100))*($M$4/100))/($M$5+$M$6))*$M$6)
+((((N27*8.34*$N$7*($N$3/100))*($N$4/100))/($N$5+$N$6))*$N$6)
+((((P27*8.34*$P$7*($P$3/100))*($P$4/100))/($P$5+$P$6))*$P$6)
+((((Q27*8.34*$Q$7*($Q$3/100))*($Q$4/100))/($Q$5+$Q$6))*$Q$6)
+((((R27*8.34*$R$7*($R$3/100))*($R$4/100))/($R$5+$R$6))*$R$6)
+((((V27*8.34*$V$7*($V$3/100))*($V$4/100))/($V$5+$V$6))*$V$6)
+(((((W27*$W$2) *8.34*$W$7*($W$3/100))*($W$4/100))/($W$5+$W$6))*$W$6)
+((((X27*8.34*$X$7*($X$3/100))*($X$4/100))/($X$5+$X$6))*$X$6)
+((((Y27*8.34*$Y$7*($Y$3/100))*($Y$4/100))/($Y$5+$Y$6))*$Y$6)</f>
        <v>874.36165274857603</v>
      </c>
      <c r="AO27" s="46">
        <f t="shared" si="6"/>
        <v>18.037533482482786</v>
      </c>
      <c r="AP27" s="69">
        <v>1</v>
      </c>
      <c r="AR27" s="36">
        <f>(C27*($C$3/100)*($C$4/100)*$C$7*8.34*0.000453592*$C$8)+
('Jan''16'!C27*($D$3/100)*($D$4/100)*$D$7*8.34*0.000453592*$D$8)+
(E27*($E$3/100)*($E$4/100)*$E$7*8.34*0.000453592*$E$8)+
(F27*($F$3/100)*($F$4/100)*$F$7*8.34*0.000453592*$F$8)+
(G27*($G$3/100)*($G$4/100)*$G$7*8.34*0.000453592*$G$8)+
(H27*($H$3/100)*($H$4/100)*$H$7*8.34*0.000453592*$H$8)+
(I27*($I$3/100)*($I$4/100)*$I$7*8.34*0.000453592*$I$8)+
(J27*($J$3/100)*($J$4/100)*$J$7*8.34*0.000453592*$J$8)+
(K27*($K$3/100)*($K$4/100)*$K$7*8.34*0.000453592*$K$8)+
(L27*($L$3/100)*($L$4/100)*$L$7*8.34*0.000453592*$L$8)+
(M27*($M$3/100)*($M$4/100)*$M$7*8.34*0.000453592*$M$8)+
(N27*($N$3/100)*($N$4/100)*$N$7*8.34*0.000453592*$N$8)+
(P27*($P$3/100)*($P$4/100)*$P$7*8.34*0.000453592*$P$8)+
(Q27*($Q$3/100)*($Q$4/100)*$Q$7*8.34*0.000453592*$Q$8)+
(R27*($R$3/100)*($R$4/100)*$R$7*8.34*0.000453592*$R$8)+
(V27*($V$3/100)*($V$4/100)*$V$7*8.34*0.000453592*$V$8)+
(W27*$W$2*($W$3/100)*($BW$4/100)*$W$7*8.34*0.000453592*$W$8)+
(X27*($X$3/100)*($X$4/100)*$X$7*8.34*0.000453592*$X$8)+
(Y27*($Y$3/100)*($Y$4/100)*$Y$7*8.34*0.000453592*$Y$8)</f>
        <v>4065.4458319267205</v>
      </c>
      <c r="AS27" s="36">
        <f t="shared" si="7"/>
        <v>9464.3578967254052</v>
      </c>
      <c r="AV27" s="55"/>
    </row>
    <row r="28" spans="1:48">
      <c r="A28" s="35" t="s">
        <v>88</v>
      </c>
      <c r="B28">
        <v>18</v>
      </c>
      <c r="C28" s="112">
        <v>4000</v>
      </c>
      <c r="D28" s="30">
        <v>2000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8">
        <v>0</v>
      </c>
      <c r="M28" s="8">
        <v>0</v>
      </c>
      <c r="N28" s="8">
        <v>0</v>
      </c>
      <c r="O28" s="8">
        <v>18</v>
      </c>
      <c r="P28" s="112">
        <v>1000</v>
      </c>
      <c r="Q28" s="30">
        <v>1500</v>
      </c>
      <c r="R28" s="76">
        <v>0</v>
      </c>
      <c r="S28" s="30">
        <v>25</v>
      </c>
      <c r="T28" s="76">
        <v>0</v>
      </c>
      <c r="U28" s="76">
        <v>0</v>
      </c>
      <c r="V28" s="76">
        <v>3700</v>
      </c>
      <c r="W28" s="30">
        <v>22</v>
      </c>
      <c r="X28" s="76">
        <v>0</v>
      </c>
      <c r="Y28" s="76">
        <v>0</v>
      </c>
      <c r="Z28" s="76">
        <v>0</v>
      </c>
      <c r="AA28" s="113"/>
      <c r="AC28" s="10">
        <f t="shared" si="0"/>
        <v>6000</v>
      </c>
      <c r="AD28" s="34">
        <f t="shared" si="8"/>
        <v>7017</v>
      </c>
      <c r="AE28" s="10">
        <f t="shared" si="1"/>
        <v>13017</v>
      </c>
      <c r="AF28" s="72">
        <f t="shared" si="2"/>
        <v>46.093569946992396</v>
      </c>
      <c r="AG28" s="72">
        <f t="shared" si="3"/>
        <v>53.906430053007604</v>
      </c>
      <c r="AI28" s="70">
        <f>((C28*8.34*$C$7*($C$3/100))*($C$4/100))+(('Jan''16'!C28*8.34*$D$7*($D$3/100))*($D$4/100))+ ((E28*8.34*$E$7*($E$3/100))*($E$4/100))+((F28*8.34*$F$7*($F$3/100))*($F$4/100))+ ((G28*8.34*$G$7*($G$3/100))*($G$4/100))+((H28*8.34*$H$7*($H$3/100))*($H$4/100))+ ((I28*8.34*$I$7*($I$3/100))*($I$4/100))+((J28*8.34*$J$7*($J$3/100))*($J$4/100))+ ((K28*8.34*$K$7*($K$3/100))*($K$4/100))+((L28*8.34*$L$7*($L$3/100))*($L$4/100))+ ((M28*8.34*$M$7*($M$3/100))*($M$4/100))+((N28*8.34*$N$7*($N$3/100))*($N$4/100))+ ((P28*8.34*$P$7*($P$3/100))*($P$4/100))+((Q28*8.34*$Q$7*($Q$3/100))*($Q$4/100))+
((R28*8.34*$R$7*($R$3/100))*($R$4/100))+((S28*8.34*$S$7*($S$3/100))*($S$4/100))+
((V28*8.34*$V$7*($V$3/100))*($V$4/100))+(((W28*$W$2)*8.34*$W$7*($W$3/100))*($W$4/100))+
((X28*8.34*$X$7*($X$3/100))*($X$4/100))+((Y28*8.34*$Y$7*($Y$3/100))*($Y$4/100))</f>
        <v>12850.689000000002</v>
      </c>
      <c r="AJ28" s="17">
        <f t="shared" si="4"/>
        <v>0.18651217706821482</v>
      </c>
      <c r="AK28" s="17">
        <f t="shared" si="5"/>
        <v>4.0538451104100953E-2</v>
      </c>
      <c r="AM28" s="102">
        <f>((((C28*8.34*$C$7*($C$3/100))*($C$4/100))/($C$5+$C$6))*$C$5)
+(((('Jan''16'!C28*8.34*$D$7*($D$3/100))*($D$4/100))/($D$5+$D$6))*$D$5)
+((((E28*8.34*$E$7*($E$3/100))*($E$4/100))/($E$5+$E$6))*$E$5)
+((((F28*8.34*$F$7*($F$3/100))*($F$4/100))/($F$5+$F$6))*$F$5)
+((((G28*8.34*$G$7*($G$3/100))*($G$4/100))/($G$5+$G$6))*$G$5)
+((((H28*8.34*$H$7*($H$3/100))*($H$4/100))/($H$5+$H$6))*$H$5)
+((((I28*8.34*$I$7*($I$3/100))*($I$4/100))/($I$5+$I$6))*$I$5)
+((((J28*8.34*$J$7*($J$3/100))*($J$4/100))/($J$5+$J$6))*$J$5)
+((((K28*8.34*$K$7*($K$3/100))*($K$4/100))/($K$5+$K$6))*$K$5)
+((((L28*8.34*$L$7*($L$3/100))*($L$4/100))/($L$5+$L$6))*$L$5)
+((((M28*8.34*$M$7*($M$3/100))*($M$4/100))/($M$5+$M$6))*$M$5)
+((((N28*8.34*$N$7*($N$3/100))*($N$4/100))/($N$5+$N$6))*$N$5)
+((((P28*8.34*$P$7*($P$3/100))*($P$4/100))/($P$5+$P$6))*$P$5)
+((((Q28*8.34*$Q$7*($Q$3/100))*($Q$4/100))/($Q$5+$Q$6))*$Q$5)
+((((R28*8.34*$R$7*($R$3/100))*($R$4/100))/($R$5+$R$6))*$R$5)
+((((V28*8.34*$V$7*($V$3/100))*($V$4/100))/($V$5+$V$6))*$V$5)
+(((((W28*$W$2)*8.34*$W$7*($W$3/100))*($W$4/100))/($W$5+$W$6))*$W$5)
+((((X28*8.34*$X$7*($X$3/100))*($X$4/100))/($X$5+$X$6))*$X$5)
+((((Y28*8.34*$Y$7*($Y$3/100))*($Y$4/100))/($Y$5+$Y$6))*$Y$5)</f>
        <v>12402.850631046678</v>
      </c>
      <c r="AN28" s="102">
        <f>((((C28*8.34*$C$7*($C$3/100))*($C$4/100))/($C$5+$C$6))*$C$6)
+(((('Jan''16'!C28*8.34*$D$7*($D$3/100))*($D$4/100))/($D$5+$D$6))*$D$6)
+((((E28*8.34*$E$7*($E$3/100))*($E$4/100))/($E$5+$E$6))*$E$6)
+((((F28*8.34*$F$7*($F$3/100))*($F$4/100))/($F$5+$F$6))*$F$6)
+((((G28*8.34*$G$7*($G$3/100))*($G$4/100))/($G$5+$G$6))*$G$6)
+((((H28*8.34*$H$7*($H$3/100))*($H$4/100))/($H$5+$H$6))*$H$6)
+((((I28*8.34*$I$7*($I$3/100))*($I$4/100))/($I$5+$I$6))*$I$6)
+((((J28*8.34*$J$7*($J$3/100))*($J$4/100))/($J$5+$J$6))*$J$6)
+((((K28*8.34*$K$7*($K$3/100))*($K$4/100))/($K$5+$K$6))*$K$6)
+((((L28*8.34*$L$7*($L$3/100))*($L$4/100))/($L$5+$L$6))*$L$6)
+((((M28*8.34*$M$7*($M$3/100))*($M$4/100))/($M$5+$M$6))*$M$6)
+((((N28*8.34*$N$7*($N$3/100))*($N$4/100))/($N$5+$N$6))*$N$6)
+((((P28*8.34*$P$7*($P$3/100))*($P$4/100))/($P$5+$P$6))*$P$6)
+((((Q28*8.34*$Q$7*($Q$3/100))*($Q$4/100))/($Q$5+$Q$6))*$Q$6)
+((((R28*8.34*$R$7*($R$3/100))*($R$4/100))/($R$5+$R$6))*$R$6)
+((((V28*8.34*$V$7*($V$3/100))*($V$4/100))/($V$5+$V$6))*$V$6)
+(((((W28*$W$2) *8.34*$W$7*($W$3/100))*($W$4/100))/($W$5+$W$6))*$W$6)
+((((X28*8.34*$X$7*($X$3/100))*($X$4/100))/($X$5+$X$6))*$X$6)
+((((Y28*8.34*$Y$7*($Y$3/100))*($Y$4/100))/($Y$5+$Y$6))*$Y$6)</f>
        <v>447.83836895332399</v>
      </c>
      <c r="AO28" s="46">
        <f t="shared" si="6"/>
        <v>27.694926319141196</v>
      </c>
      <c r="AP28" s="68">
        <v>1</v>
      </c>
      <c r="AR28" s="7">
        <f>(C28*($C$3/100)*($C$4/100)*$C$7*8.34*0.000453592*$C$8)+
('Jan''16'!C28*($D$3/100)*($D$4/100)*$D$7*8.34*0.000453592*$D$8)+
(E28*($E$3/100)*($E$4/100)*$E$7*8.34*0.000453592*$E$8)+
(F28*($F$3/100)*($F$4/100)*$F$7*8.34*0.000453592*$F$8)+
(G28*($G$3/100)*($G$4/100)*$G$7*8.34*0.000453592*$G$8)+
(H28*($H$3/100)*($H$4/100)*$H$7*8.34*0.000453592*$H$8)+
(I28*($I$3/100)*($I$4/100)*$I$7*8.34*0.000453592*$I$8)+
(J28*($J$3/100)*($J$4/100)*$J$7*8.34*0.000453592*$J$8)+
(K28*($K$3/100)*($K$4/100)*$K$7*8.34*0.000453592*$K$8)+
(L28*($L$3/100)*($L$4/100)*$L$7*8.34*0.000453592*$L$8)+
(M28*($M$3/100)*($M$4/100)*$M$7*8.34*0.000453592*$M$8)+
(N28*($N$3/100)*($N$4/100)*$N$7*8.34*0.000453592*$N$8)+
(P28*($P$3/100)*($P$4/100)*$P$7*8.34*0.000453592*$P$8)+
(Q28*($Q$3/100)*($Q$4/100)*$Q$7*8.34*0.000453592*$Q$8)+
(R28*($R$3/100)*($R$4/100)*$R$7*8.34*0.000453592*$R$8)+
(V28*($V$3/100)*($V$4/100)*$V$7*8.34*0.000453592*$V$8)+
(W28*$W$2*($W$3/100)*($BW$4/100)*$W$7*8.34*0.000453592*$W$8)+
(X28*($X$3/100)*($X$4/100)*$X$7*8.34*0.000453592*$X$8)+
(Y28*($Y$3/100)*($Y$4/100)*$Y$7*8.34*0.000453592*$Y$8)</f>
        <v>3237.5796778142394</v>
      </c>
      <c r="AS28" s="7">
        <f t="shared" si="7"/>
        <v>7537.0854899515498</v>
      </c>
      <c r="AV28" s="40"/>
    </row>
    <row r="29" spans="1:48">
      <c r="B29">
        <v>19</v>
      </c>
      <c r="C29" s="112">
        <v>4000</v>
      </c>
      <c r="D29" s="30">
        <v>2000</v>
      </c>
      <c r="E29" s="52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26">
        <f>2000+2000</f>
        <v>4000</v>
      </c>
      <c r="L29" s="8">
        <v>0</v>
      </c>
      <c r="M29" s="8">
        <v>0</v>
      </c>
      <c r="N29" s="8">
        <v>0</v>
      </c>
      <c r="O29" s="8">
        <v>19</v>
      </c>
      <c r="P29" s="112">
        <v>950</v>
      </c>
      <c r="Q29" s="30">
        <v>1000</v>
      </c>
      <c r="R29" s="98">
        <v>0</v>
      </c>
      <c r="S29" s="30">
        <v>25</v>
      </c>
      <c r="T29" s="52">
        <v>0</v>
      </c>
      <c r="U29" s="52">
        <v>0</v>
      </c>
      <c r="V29" s="76">
        <v>0</v>
      </c>
      <c r="W29" s="30">
        <v>5</v>
      </c>
      <c r="X29" s="76">
        <v>0</v>
      </c>
      <c r="Y29" s="76">
        <v>0</v>
      </c>
      <c r="Z29" s="76">
        <v>0</v>
      </c>
      <c r="AA29" s="113"/>
      <c r="AC29" s="10">
        <f t="shared" si="0"/>
        <v>10000</v>
      </c>
      <c r="AD29" s="34">
        <f t="shared" si="8"/>
        <v>2155</v>
      </c>
      <c r="AE29" s="10">
        <f t="shared" si="1"/>
        <v>12155</v>
      </c>
      <c r="AF29" s="72">
        <f t="shared" si="2"/>
        <v>82.270670505964617</v>
      </c>
      <c r="AG29" s="72">
        <f t="shared" si="3"/>
        <v>17.729329494035376</v>
      </c>
      <c r="AI29" s="70">
        <f>((C29*8.34*$C$7*($C$3/100))*($C$4/100))+(('Jan''16'!C29*8.34*$D$7*($D$3/100))*($D$4/100))+ ((E29*8.34*$E$7*($E$3/100))*($E$4/100))+((F29*8.34*$F$7*($F$3/100))*($F$4/100))+ ((G29*8.34*$G$7*($G$3/100))*($G$4/100))+((H29*8.34*$H$7*($H$3/100))*($H$4/100))+ ((I29*8.34*$I$7*($I$3/100))*($I$4/100))+((J29*8.34*$J$7*($J$3/100))*($J$4/100))+ ((K29*8.34*$K$7*($K$3/100))*($K$4/100))+((L29*8.34*$L$7*($L$3/100))*($L$4/100))+ ((M29*8.34*$M$7*($M$3/100))*($M$4/100))+((N29*8.34*$N$7*($N$3/100))*($N$4/100))+ ((P29*8.34*$P$7*($P$3/100))*($P$4/100))+((Q29*8.34*$Q$7*($Q$3/100))*($Q$4/100))+
((R29*8.34*$R$7*($R$3/100))*($R$4/100))+((S29*8.34*$S$7*($S$3/100))*($S$4/100))+
((V29*8.34*$V$7*($V$3/100))*($V$4/100))+(((W29*$W$2)*8.34*$W$7*($W$3/100))*($W$4/100))+
((X29*8.34*$X$7*($X$3/100))*($X$4/100))+((Y29*8.34*$Y$7*($Y$3/100))*($Y$4/100))</f>
        <v>8426.5108199999995</v>
      </c>
      <c r="AJ29" s="17">
        <f t="shared" si="4"/>
        <v>0.12230059245283018</v>
      </c>
      <c r="AK29" s="17">
        <f t="shared" si="5"/>
        <v>2.6582053059936907E-2</v>
      </c>
      <c r="AM29" s="102">
        <f>((((C29*8.34*$C$7*($C$3/100))*($C$4/100))/($C$5+$C$6))*$C$5)
+(((('Jan''16'!C29*8.34*$D$7*($D$3/100))*($D$4/100))/($D$5+$D$6))*$D$5)
+((((E29*8.34*$E$7*($E$3/100))*($E$4/100))/($E$5+$E$6))*$E$5)
+((((F29*8.34*$F$7*($F$3/100))*($F$4/100))/($F$5+$F$6))*$F$5)
+((((G29*8.34*$G$7*($G$3/100))*($G$4/100))/($G$5+$G$6))*$G$5)
+((((H29*8.34*$H$7*($H$3/100))*($H$4/100))/($H$5+$H$6))*$H$5)
+((((I29*8.34*$I$7*($I$3/100))*($I$4/100))/($I$5+$I$6))*$I$5)
+((((J29*8.34*$J$7*($J$3/100))*($J$4/100))/($J$5+$J$6))*$J$5)
+((((K29*8.34*$K$7*($K$3/100))*($K$4/100))/($K$5+$K$6))*$K$5)
+((((L29*8.34*$L$7*($L$3/100))*($L$4/100))/($L$5+$L$6))*$L$5)
+((((M29*8.34*$M$7*($M$3/100))*($M$4/100))/($M$5+$M$6))*$M$5)
+((((N29*8.34*$N$7*($N$3/100))*($N$4/100))/($N$5+$N$6))*$N$5)
+((((P29*8.34*$P$7*($P$3/100))*($P$4/100))/($P$5+$P$6))*$P$5)
+((((Q29*8.34*$Q$7*($Q$3/100))*($Q$4/100))/($Q$5+$Q$6))*$Q$5)
+((((R29*8.34*$R$7*($R$3/100))*($R$4/100))/($R$5+$R$6))*$R$5)
+((((V29*8.34*$V$7*($V$3/100))*($V$4/100))/($V$5+$V$6))*$V$5)
+(((((W29*$W$2)*8.34*$W$7*($W$3/100))*($W$4/100))/($W$5+$W$6))*$W$5)
+((((X29*8.34*$X$7*($X$3/100))*($X$4/100))/($X$5+$X$6))*$X$5)
+((((Y29*8.34*$Y$7*($Y$3/100))*($Y$4/100))/($Y$5+$Y$6))*$Y$5)</f>
        <v>7961.3378757685705</v>
      </c>
      <c r="AN29" s="102">
        <f>((((C29*8.34*$C$7*($C$3/100))*($C$4/100))/($C$5+$C$6))*$C$6)
+(((('Jan''16'!C29*8.34*$D$7*($D$3/100))*($D$4/100))/($D$5+$D$6))*$D$6)
+((((E29*8.34*$E$7*($E$3/100))*($E$4/100))/($E$5+$E$6))*$E$6)
+((((F29*8.34*$F$7*($F$3/100))*($F$4/100))/($F$5+$F$6))*$F$6)
+((((G29*8.34*$G$7*($G$3/100))*($G$4/100))/($G$5+$G$6))*$G$6)
+((((H29*8.34*$H$7*($H$3/100))*($H$4/100))/($H$5+$H$6))*$H$6)
+((((I29*8.34*$I$7*($I$3/100))*($I$4/100))/($I$5+$I$6))*$I$6)
+((((J29*8.34*$J$7*($J$3/100))*($J$4/100))/($J$5+$J$6))*$J$6)
+((((K29*8.34*$K$7*($K$3/100))*($K$4/100))/($K$5+$K$6))*$K$6)
+((((L29*8.34*$L$7*($L$3/100))*($L$4/100))/($L$5+$L$6))*$L$6)
+((((M29*8.34*$M$7*($M$3/100))*($M$4/100))/($M$5+$M$6))*$M$6)
+((((N29*8.34*$N$7*($N$3/100))*($N$4/100))/($N$5+$N$6))*$N$6)
+((((P29*8.34*$P$7*($P$3/100))*($P$4/100))/($P$5+$P$6))*$P$6)
+((((Q29*8.34*$Q$7*($Q$3/100))*($Q$4/100))/($Q$5+$Q$6))*$Q$6)
+((((R29*8.34*$R$7*($R$3/100))*($R$4/100))/($R$5+$R$6))*$R$6)
+((((V29*8.34*$V$7*($V$3/100))*($V$4/100))/($V$5+$V$6))*$V$6)
+(((((W29*$W$2) *8.34*$W$7*($W$3/100))*($W$4/100))/($W$5+$W$6))*$W$6)
+((((X29*8.34*$X$7*($X$3/100))*($X$4/100))/($X$5+$X$6))*$X$6)
+((((Y29*8.34*$Y$7*($Y$3/100))*($Y$4/100))/($Y$5+$Y$6))*$Y$6)</f>
        <v>465.1729442314309</v>
      </c>
      <c r="AO29" s="46">
        <f t="shared" si="6"/>
        <v>17.114791336203936</v>
      </c>
      <c r="AP29" s="68">
        <v>1</v>
      </c>
      <c r="AR29" s="7">
        <f>(C29*($C$3/100)*($C$4/100)*$C$7*8.34*0.000453592*$C$8)+
('Jan''16'!C29*($D$3/100)*($D$4/100)*$D$7*8.34*0.000453592*$D$8)+
(E29*($E$3/100)*($E$4/100)*$E$7*8.34*0.000453592*$E$8)+
(F29*($F$3/100)*($F$4/100)*$F$7*8.34*0.000453592*$F$8)+
(G29*($G$3/100)*($G$4/100)*$G$7*8.34*0.000453592*$G$8)+
(H29*($H$3/100)*($H$4/100)*$H$7*8.34*0.000453592*$H$8)+
(I29*($I$3/100)*($I$4/100)*$I$7*8.34*0.000453592*$I$8)+
(J29*($J$3/100)*($J$4/100)*$J$7*8.34*0.000453592*$J$8)+
(K29*($K$3/100)*($K$4/100)*$K$7*8.34*0.000453592*$K$8)+
(L29*($L$3/100)*($L$4/100)*$L$7*8.34*0.000453592*$L$8)+
(M29*($M$3/100)*($M$4/100)*$M$7*8.34*0.000453592*$M$8)+
(N29*($N$3/100)*($N$4/100)*$N$7*8.34*0.000453592*$N$8)+
(P29*($P$3/100)*($P$4/100)*$P$7*8.34*0.000453592*$P$8)+
(Q29*($Q$3/100)*($Q$4/100)*$Q$7*8.34*0.000453592*$Q$8)+
(R29*($R$3/100)*($R$4/100)*$R$7*8.34*0.000453592*$R$8)+
(V29*($V$3/100)*($V$4/100)*$V$7*8.34*0.000453592*$V$8)+
(W29*$W$2*($W$3/100)*($BW$4/100)*$W$7*8.34*0.000453592*$W$8)+
(X29*($X$3/100)*($X$4/100)*$X$7*8.34*0.000453592*$X$8)+
(Y29*($Y$3/100)*($Y$4/100)*$Y$7*8.34*0.000453592*$Y$8)</f>
        <v>1907.3311224818401</v>
      </c>
      <c r="AS29" s="7">
        <f t="shared" si="7"/>
        <v>4440.266853137724</v>
      </c>
      <c r="AV29" s="40"/>
    </row>
    <row r="30" spans="1:48">
      <c r="B30">
        <v>20</v>
      </c>
      <c r="C30" s="112">
        <v>0</v>
      </c>
      <c r="D30" s="30">
        <v>2000</v>
      </c>
      <c r="E30" s="52">
        <v>650</v>
      </c>
      <c r="F30" s="52">
        <v>650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8">
        <v>0</v>
      </c>
      <c r="M30" s="8">
        <v>0</v>
      </c>
      <c r="N30" s="8">
        <v>0</v>
      </c>
      <c r="O30" s="8">
        <v>20</v>
      </c>
      <c r="P30" s="112">
        <f>4000+900</f>
        <v>4900</v>
      </c>
      <c r="Q30" s="30">
        <v>1500</v>
      </c>
      <c r="R30" s="98">
        <v>0</v>
      </c>
      <c r="S30" s="30">
        <v>25</v>
      </c>
      <c r="T30" s="52">
        <v>0</v>
      </c>
      <c r="U30" s="52">
        <v>0</v>
      </c>
      <c r="V30" s="76">
        <v>0</v>
      </c>
      <c r="W30" s="30">
        <v>5</v>
      </c>
      <c r="X30" s="76">
        <v>0</v>
      </c>
      <c r="Y30" s="76">
        <v>0</v>
      </c>
      <c r="Z30" s="76">
        <v>0</v>
      </c>
      <c r="AA30" s="113"/>
      <c r="AC30" s="10">
        <f t="shared" si="0"/>
        <v>3300</v>
      </c>
      <c r="AD30" s="34">
        <f t="shared" si="8"/>
        <v>6605</v>
      </c>
      <c r="AE30" s="10">
        <f t="shared" si="1"/>
        <v>9905</v>
      </c>
      <c r="AF30" s="72">
        <f t="shared" si="2"/>
        <v>33.316506814740031</v>
      </c>
      <c r="AG30" s="72">
        <f t="shared" si="3"/>
        <v>66.683493185259977</v>
      </c>
      <c r="AI30" s="70">
        <f>((C30*8.34*$C$7*($C$3/100))*($C$4/100))+(('Jan''16'!C30*8.34*$D$7*($D$3/100))*($D$4/100))+ ((E30*8.34*$E$7*($E$3/100))*($E$4/100))+((F30*8.34*$F$7*($F$3/100))*($F$4/100))+ ((G30*8.34*$G$7*($G$3/100))*($G$4/100))+((H30*8.34*$H$7*($H$3/100))*($H$4/100))+ ((I30*8.34*$I$7*($I$3/100))*($I$4/100))+((J30*8.34*$J$7*($J$3/100))*($J$4/100))+ ((K30*8.34*$K$7*($K$3/100))*($K$4/100))+((L30*8.34*$L$7*($L$3/100))*($L$4/100))+ ((M30*8.34*$M$7*($M$3/100))*($M$4/100))+((N30*8.34*$N$7*($N$3/100))*($N$4/100))+ ((P30*8.34*$P$7*($P$3/100))*($P$4/100))+((Q30*8.34*$Q$7*($Q$3/100))*($Q$4/100))+
((R30*8.34*$R$7*($R$3/100))*($R$4/100))+((S30*8.34*$S$7*($S$3/100))*($S$4/100))+
((V30*8.34*$V$7*($V$3/100))*($V$4/100))+(((W30*$W$2)*8.34*$W$7*($W$3/100))*($W$4/100))+
((X30*8.34*$X$7*($X$3/100))*($X$4/100))+((Y30*8.34*$Y$7*($Y$3/100))*($Y$4/100))</f>
        <v>11536.081904999999</v>
      </c>
      <c r="AJ30" s="17">
        <f t="shared" si="4"/>
        <v>0.16743224825834541</v>
      </c>
      <c r="AK30" s="17">
        <f t="shared" si="5"/>
        <v>3.6391425567823342E-2</v>
      </c>
      <c r="AM30" s="102">
        <f>((((C30*8.34*$C$7*($C$3/100))*($C$4/100))/($C$5+$C$6))*$C$5)
+(((('Jan''16'!C30*8.34*$D$7*($D$3/100))*($D$4/100))/($D$5+$D$6))*$D$5)
+((((E30*8.34*$E$7*($E$3/100))*($E$4/100))/($E$5+$E$6))*$E$5)
+((((F30*8.34*$F$7*($F$3/100))*($F$4/100))/($F$5+$F$6))*$F$5)
+((((G30*8.34*$G$7*($G$3/100))*($G$4/100))/($G$5+$G$6))*$G$5)
+((((H30*8.34*$H$7*($H$3/100))*($H$4/100))/($H$5+$H$6))*$H$5)
+((((I30*8.34*$I$7*($I$3/100))*($I$4/100))/($I$5+$I$6))*$I$5)
+((((J30*8.34*$J$7*($J$3/100))*($J$4/100))/($J$5+$J$6))*$J$5)
+((((K30*8.34*$K$7*($K$3/100))*($K$4/100))/($K$5+$K$6))*$K$5)
+((((L30*8.34*$L$7*($L$3/100))*($L$4/100))/($L$5+$L$6))*$L$5)
+((((M30*8.34*$M$7*($M$3/100))*($M$4/100))/($M$5+$M$6))*$M$5)
+((((N30*8.34*$N$7*($N$3/100))*($N$4/100))/($N$5+$N$6))*$N$5)
+((((P30*8.34*$P$7*($P$3/100))*($P$4/100))/($P$5+$P$6))*$P$5)
+((((Q30*8.34*$Q$7*($Q$3/100))*($Q$4/100))/($Q$5+$Q$6))*$Q$5)
+((((R30*8.34*$R$7*($R$3/100))*($R$4/100))/($R$5+$R$6))*$R$5)
+((((V30*8.34*$V$7*($V$3/100))*($V$4/100))/($V$5+$V$6))*$V$5)
+(((((W30*$W$2)*8.34*$W$7*($W$3/100))*($W$4/100))/($W$5+$W$6))*$W$5)
+((((X30*8.34*$X$7*($X$3/100))*($X$4/100))/($X$5+$X$6))*$X$5)
+((((Y30*8.34*$Y$7*($Y$3/100))*($Y$4/100))/($Y$5+$Y$6))*$Y$5)</f>
        <v>11043.102697597198</v>
      </c>
      <c r="AN30" s="102">
        <f>((((C30*8.34*$C$7*($C$3/100))*($C$4/100))/($C$5+$C$6))*$C$6)
+(((('Jan''16'!C30*8.34*$D$7*($D$3/100))*($D$4/100))/($D$5+$D$6))*$D$6)
+((((E30*8.34*$E$7*($E$3/100))*($E$4/100))/($E$5+$E$6))*$E$6)
+((((F30*8.34*$F$7*($F$3/100))*($F$4/100))/($F$5+$F$6))*$F$6)
+((((G30*8.34*$G$7*($G$3/100))*($G$4/100))/($G$5+$G$6))*$G$6)
+((((H30*8.34*$H$7*($H$3/100))*($H$4/100))/($H$5+$H$6))*$H$6)
+((((I30*8.34*$I$7*($I$3/100))*($I$4/100))/($I$5+$I$6))*$I$6)
+((((J30*8.34*$J$7*($J$3/100))*($J$4/100))/($J$5+$J$6))*$J$6)
+((((K30*8.34*$K$7*($K$3/100))*($K$4/100))/($K$5+$K$6))*$K$6)
+((((L30*8.34*$L$7*($L$3/100))*($L$4/100))/($L$5+$L$6))*$L$6)
+((((M30*8.34*$M$7*($M$3/100))*($M$4/100))/($M$5+$M$6))*$M$6)
+((((N30*8.34*$N$7*($N$3/100))*($N$4/100))/($N$5+$N$6))*$N$6)
+((((P30*8.34*$P$7*($P$3/100))*($P$4/100))/($P$5+$P$6))*$P$6)
+((((Q30*8.34*$Q$7*($Q$3/100))*($Q$4/100))/($Q$5+$Q$6))*$Q$6)
+((((R30*8.34*$R$7*($R$3/100))*($R$4/100))/($R$5+$R$6))*$R$6)
+((((V30*8.34*$V$7*($V$3/100))*($V$4/100))/($V$5+$V$6))*$V$6)
+(((((W30*$W$2) *8.34*$W$7*($W$3/100))*($W$4/100))/($W$5+$W$6))*$W$6)
+((((X30*8.34*$X$7*($X$3/100))*($X$4/100))/($X$5+$X$6))*$X$6)
+((((Y30*8.34*$Y$7*($Y$3/100))*($Y$4/100))/($Y$5+$Y$6))*$Y$6)</f>
        <v>492.97920740280125</v>
      </c>
      <c r="AO30" s="46">
        <f t="shared" si="6"/>
        <v>22.400747398204462</v>
      </c>
      <c r="AP30" s="68">
        <v>1</v>
      </c>
      <c r="AR30" s="7">
        <f>(C30*($C$3/100)*($C$4/100)*$C$7*8.34*0.000453592*$C$8)+
('Jan''16'!C30*($D$3/100)*($D$4/100)*$D$7*8.34*0.000453592*$D$8)+
(E30*($E$3/100)*($E$4/100)*$E$7*8.34*0.000453592*$E$8)+
(F30*($F$3/100)*($F$4/100)*$F$7*8.34*0.000453592*$F$8)+
(G30*($G$3/100)*($G$4/100)*$G$7*8.34*0.000453592*$G$8)+
(H30*($H$3/100)*($H$4/100)*$H$7*8.34*0.000453592*$H$8)+
(I30*($I$3/100)*($I$4/100)*$I$7*8.34*0.000453592*$I$8)+
(J30*($J$3/100)*($J$4/100)*$J$7*8.34*0.000453592*$J$8)+
(K30*($K$3/100)*($K$4/100)*$K$7*8.34*0.000453592*$K$8)+
(L30*($L$3/100)*($L$4/100)*$L$7*8.34*0.000453592*$L$8)+
(M30*($M$3/100)*($M$4/100)*$M$7*8.34*0.000453592*$M$8)+
(N30*($N$3/100)*($N$4/100)*$N$7*8.34*0.000453592*$N$8)+
(P30*($P$3/100)*($P$4/100)*$P$7*8.34*0.000453592*$P$8)+
(Q30*($Q$3/100)*($Q$4/100)*$Q$7*8.34*0.000453592*$Q$8)+
(R30*($R$3/100)*($R$4/100)*$R$7*8.34*0.000453592*$R$8)+
(V30*($V$3/100)*($V$4/100)*$V$7*8.34*0.000453592*$V$8)+
(W30*$W$2*($W$3/100)*($BW$4/100)*$W$7*8.34*0.000453592*$W$8)+
(X30*($X$3/100)*($X$4/100)*$X$7*8.34*0.000453592*$X$8)+
(Y30*($Y$3/100)*($Y$4/100)*$Y$7*8.34*0.000453592*$Y$8)</f>
        <v>3232.2564705629015</v>
      </c>
      <c r="AS30" s="7">
        <f t="shared" si="7"/>
        <v>7524.693063470434</v>
      </c>
    </row>
    <row r="31" spans="1:48">
      <c r="B31">
        <v>21</v>
      </c>
      <c r="C31" s="112">
        <v>4000</v>
      </c>
      <c r="D31" s="30">
        <v>2000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26">
        <f>2000+2000</f>
        <v>4000</v>
      </c>
      <c r="L31" s="8">
        <v>0</v>
      </c>
      <c r="M31" s="8">
        <v>0</v>
      </c>
      <c r="N31" s="8">
        <v>0</v>
      </c>
      <c r="O31" s="8">
        <v>21</v>
      </c>
      <c r="P31" s="112">
        <v>0</v>
      </c>
      <c r="Q31" s="30">
        <v>2000</v>
      </c>
      <c r="R31" s="98">
        <v>0</v>
      </c>
      <c r="S31" s="30">
        <v>25</v>
      </c>
      <c r="T31" s="26">
        <v>0</v>
      </c>
      <c r="U31" s="2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113"/>
      <c r="AC31" s="10">
        <f t="shared" si="0"/>
        <v>10000</v>
      </c>
      <c r="AD31" s="34">
        <f t="shared" si="8"/>
        <v>2025</v>
      </c>
      <c r="AE31" s="10">
        <f t="shared" si="1"/>
        <v>12025</v>
      </c>
      <c r="AF31" s="72">
        <f t="shared" si="2"/>
        <v>83.160083160083161</v>
      </c>
      <c r="AG31" s="72">
        <f t="shared" si="3"/>
        <v>16.839916839916839</v>
      </c>
      <c r="AI31" s="70">
        <f>((C31*8.34*$C$7*($C$3/100))*($C$4/100))+(('Jan''16'!C31*8.34*$D$7*($D$3/100))*($D$4/100))+ ((E31*8.34*$E$7*($E$3/100))*($E$4/100))+((F31*8.34*$F$7*($F$3/100))*($F$4/100))+ ((G31*8.34*$G$7*($G$3/100))*($G$4/100))+((H31*8.34*$H$7*($H$3/100))*($H$4/100))+ ((I31*8.34*$I$7*($I$3/100))*($I$4/100))+((J31*8.34*$J$7*($J$3/100))*($J$4/100))+ ((K31*8.34*$K$7*($K$3/100))*($K$4/100))+((L31*8.34*$L$7*($L$3/100))*($L$4/100))+ ((M31*8.34*$M$7*($M$3/100))*($M$4/100))+((N31*8.34*$N$7*($N$3/100))*($N$4/100))+ ((P31*8.34*$P$7*($P$3/100))*($P$4/100))+((Q31*8.34*$Q$7*($Q$3/100))*($Q$4/100))+
((R31*8.34*$R$7*($R$3/100))*($R$4/100))+((S31*8.34*$S$7*($S$3/100))*($S$4/100))+
((V31*8.34*$V$7*($V$3/100))*($V$4/100))+(((W31*$W$2)*8.34*$W$7*($W$3/100))*($W$4/100))+
((X31*8.34*$X$7*($X$3/100))*($X$4/100))+((Y31*8.34*$Y$7*($Y$3/100))*($Y$4/100))</f>
        <v>11402.76492</v>
      </c>
      <c r="AJ31" s="17">
        <f t="shared" si="4"/>
        <v>0.16549731378809868</v>
      </c>
      <c r="AK31" s="17">
        <f t="shared" si="5"/>
        <v>3.5970867255520504E-2</v>
      </c>
      <c r="AM31" s="102">
        <f>((((C31*8.34*$C$7*($C$3/100))*($C$4/100))/($C$5+$C$6))*$C$5)
+(((('Jan''16'!C31*8.34*$D$7*($D$3/100))*($D$4/100))/($D$5+$D$6))*$D$5)
+((((E31*8.34*$E$7*($E$3/100))*($E$4/100))/($E$5+$E$6))*$E$5)
+((((F31*8.34*$F$7*($F$3/100))*($F$4/100))/($F$5+$F$6))*$F$5)
+((((G31*8.34*$G$7*($G$3/100))*($G$4/100))/($G$5+$G$6))*$G$5)
+((((H31*8.34*$H$7*($H$3/100))*($H$4/100))/($H$5+$H$6))*$H$5)
+((((I31*8.34*$I$7*($I$3/100))*($I$4/100))/($I$5+$I$6))*$I$5)
+((((J31*8.34*$J$7*($J$3/100))*($J$4/100))/($J$5+$J$6))*$J$5)
+((((K31*8.34*$K$7*($K$3/100))*($K$4/100))/($K$5+$K$6))*$K$5)
+((((L31*8.34*$L$7*($L$3/100))*($L$4/100))/($L$5+$L$6))*$L$5)
+((((M31*8.34*$M$7*($M$3/100))*($M$4/100))/($M$5+$M$6))*$M$5)
+((((N31*8.34*$N$7*($N$3/100))*($N$4/100))/($N$5+$N$6))*$N$5)
+((((P31*8.34*$P$7*($P$3/100))*($P$4/100))/($P$5+$P$6))*$P$5)
+((((Q31*8.34*$Q$7*($Q$3/100))*($Q$4/100))/($Q$5+$Q$6))*$Q$5)
+((((R31*8.34*$R$7*($R$3/100))*($R$4/100))/($R$5+$R$6))*$R$5)
+((((V31*8.34*$V$7*($V$3/100))*($V$4/100))/($V$5+$V$6))*$V$5)
+(((((W31*$W$2)*8.34*$W$7*($W$3/100))*($W$4/100))/($W$5+$W$6))*$W$5)
+((((X31*8.34*$X$7*($X$3/100))*($X$4/100))/($X$5+$X$6))*$X$5)
+((((Y31*8.34*$Y$7*($Y$3/100))*($Y$4/100))/($Y$5+$Y$6))*$Y$5)</f>
        <v>10972.451701228259</v>
      </c>
      <c r="AN31" s="102">
        <f>((((C31*8.34*$C$7*($C$3/100))*($C$4/100))/($C$5+$C$6))*$C$6)
+(((('Jan''16'!C31*8.34*$D$7*($D$3/100))*($D$4/100))/($D$5+$D$6))*$D$6)
+((((E31*8.34*$E$7*($E$3/100))*($E$4/100))/($E$5+$E$6))*$E$6)
+((((F31*8.34*$F$7*($F$3/100))*($F$4/100))/($F$5+$F$6))*$F$6)
+((((G31*8.34*$G$7*($G$3/100))*($G$4/100))/($G$5+$G$6))*$G$6)
+((((H31*8.34*$H$7*($H$3/100))*($H$4/100))/($H$5+$H$6))*$H$6)
+((((I31*8.34*$I$7*($I$3/100))*($I$4/100))/($I$5+$I$6))*$I$6)
+((((J31*8.34*$J$7*($J$3/100))*($J$4/100))/($J$5+$J$6))*$J$6)
+((((K31*8.34*$K$7*($K$3/100))*($K$4/100))/($K$5+$K$6))*$K$6)
+((((L31*8.34*$L$7*($L$3/100))*($L$4/100))/($L$5+$L$6))*$L$6)
+((((M31*8.34*$M$7*($M$3/100))*($M$4/100))/($M$5+$M$6))*$M$6)
+((((N31*8.34*$N$7*($N$3/100))*($N$4/100))/($N$5+$N$6))*$N$6)
+((((P31*8.34*$P$7*($P$3/100))*($P$4/100))/($P$5+$P$6))*$P$6)
+((((Q31*8.34*$Q$7*($Q$3/100))*($Q$4/100))/($Q$5+$Q$6))*$Q$6)
+((((R31*8.34*$R$7*($R$3/100))*($R$4/100))/($R$5+$R$6))*$R$6)
+((((V31*8.34*$V$7*($V$3/100))*($V$4/100))/($V$5+$V$6))*$V$6)
+(((((W31*$W$2) *8.34*$W$7*($W$3/100))*($W$4/100))/($W$5+$W$6))*$W$6)
+((((X31*8.34*$X$7*($X$3/100))*($X$4/100))/($X$5+$X$6))*$X$6)
+((((Y31*8.34*$Y$7*($Y$3/100))*($Y$4/100))/($Y$5+$Y$6))*$Y$6)</f>
        <v>430.31321877174207</v>
      </c>
      <c r="AO31" s="46">
        <f t="shared" si="6"/>
        <v>25.498755842424057</v>
      </c>
      <c r="AP31" s="68">
        <v>1</v>
      </c>
      <c r="AR31" s="7">
        <f>(C31*($C$3/100)*($C$4/100)*$C$7*8.34*0.000453592*$C$8)+
('Jan''16'!C31*($D$3/100)*($D$4/100)*$D$7*8.34*0.000453592*$D$8)+
(E31*($E$3/100)*($E$4/100)*$E$7*8.34*0.000453592*$E$8)+
(F31*($F$3/100)*($F$4/100)*$F$7*8.34*0.000453592*$F$8)+
(G31*($G$3/100)*($G$4/100)*$G$7*8.34*0.000453592*$G$8)+
(H31*($H$3/100)*($H$4/100)*$H$7*8.34*0.000453592*$H$8)+
(I31*($I$3/100)*($I$4/100)*$I$7*8.34*0.000453592*$I$8)+
(J31*($J$3/100)*($J$4/100)*$J$7*8.34*0.000453592*$J$8)+
(K31*($K$3/100)*($K$4/100)*$K$7*8.34*0.000453592*$K$8)+
(L31*($L$3/100)*($L$4/100)*$L$7*8.34*0.000453592*$L$8)+
(M31*($M$3/100)*($M$4/100)*$M$7*8.34*0.000453592*$M$8)+
(N31*($N$3/100)*($N$4/100)*$N$7*8.34*0.000453592*$N$8)+
(P31*($P$3/100)*($P$4/100)*$P$7*8.34*0.000453592*$P$8)+
(Q31*($Q$3/100)*($Q$4/100)*$Q$7*8.34*0.000453592*$Q$8)+
(R31*($R$3/100)*($R$4/100)*$R$7*8.34*0.000453592*$R$8)+
(V31*($V$3/100)*($V$4/100)*$V$7*8.34*0.000453592*$V$8)+
(W31*$W$2*($W$3/100)*($BW$4/100)*$W$7*8.34*0.000453592*$W$8)+
(X31*($X$3/100)*($X$4/100)*$X$7*8.34*0.000453592*$X$8)+
(Y31*($Y$3/100)*($Y$4/100)*$Y$7*8.34*0.000453592*$Y$8)</f>
        <v>3168.7865996774403</v>
      </c>
      <c r="AS31" s="7">
        <f t="shared" si="7"/>
        <v>7376.9352040490812</v>
      </c>
    </row>
    <row r="32" spans="1:48">
      <c r="A32" t="s">
        <v>81</v>
      </c>
      <c r="B32">
        <v>22</v>
      </c>
      <c r="C32" s="112">
        <v>4000</v>
      </c>
      <c r="D32" s="30">
        <v>2000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26">
        <f>4000+4000</f>
        <v>8000</v>
      </c>
      <c r="L32" s="8">
        <v>0</v>
      </c>
      <c r="M32" s="8">
        <v>0</v>
      </c>
      <c r="N32" s="8">
        <v>0</v>
      </c>
      <c r="O32" s="8">
        <v>22</v>
      </c>
      <c r="P32" s="112">
        <v>0</v>
      </c>
      <c r="Q32" s="30">
        <v>1000</v>
      </c>
      <c r="R32" s="98">
        <v>0</v>
      </c>
      <c r="S32" s="76">
        <v>0</v>
      </c>
      <c r="T32" s="26">
        <v>0</v>
      </c>
      <c r="U32" s="2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113"/>
      <c r="AC32" s="10">
        <f t="shared" si="0"/>
        <v>14000</v>
      </c>
      <c r="AD32" s="34">
        <f t="shared" si="8"/>
        <v>1000</v>
      </c>
      <c r="AE32" s="10">
        <f t="shared" si="1"/>
        <v>15000</v>
      </c>
      <c r="AF32" s="72">
        <f t="shared" si="2"/>
        <v>93.333333333333329</v>
      </c>
      <c r="AG32" s="72">
        <f t="shared" si="3"/>
        <v>6.666666666666667</v>
      </c>
      <c r="AI32" s="70">
        <f>((C32*8.34*$C$7*($C$3/100))*($C$4/100))+(('Jan''16'!C32*8.34*$D$7*($D$3/100))*($D$4/100))+ ((E32*8.34*$E$7*($E$3/100))*($E$4/100))+((F32*8.34*$F$7*($F$3/100))*($F$4/100))+ ((G32*8.34*$G$7*($G$3/100))*($G$4/100))+((H32*8.34*$H$7*($H$3/100))*($H$4/100))+ ((I32*8.34*$I$7*($I$3/100))*($I$4/100))+((J32*8.34*$J$7*($J$3/100))*($J$4/100))+ ((K32*8.34*$K$7*($K$3/100))*($K$4/100))+((L32*8.34*$L$7*($L$3/100))*($L$4/100))+ ((M32*8.34*$M$7*($M$3/100))*($M$4/100))+((N32*8.34*$N$7*($N$3/100))*($N$4/100))+ ((P32*8.34*$P$7*($P$3/100))*($P$4/100))+((Q32*8.34*$Q$7*($Q$3/100))*($Q$4/100))+
((R32*8.34*$R$7*($R$3/100))*($R$4/100))+((S32*8.34*$S$7*($S$3/100))*($S$4/100))+
((V32*8.34*$V$7*($V$3/100))*($V$4/100))+(((W32*$W$2)*8.34*$W$7*($W$3/100))*($W$4/100))+
((X32*8.34*$X$7*($X$3/100))*($X$4/100))+((Y32*8.34*$Y$7*($Y$3/100))*($Y$4/100))</f>
        <v>8405.2688400000006</v>
      </c>
      <c r="AJ32" s="17">
        <f t="shared" si="4"/>
        <v>0.12199229085631351</v>
      </c>
      <c r="AK32" s="17">
        <f t="shared" si="5"/>
        <v>2.6515043659305997E-2</v>
      </c>
      <c r="AM32" s="102">
        <f>((((C32*8.34*$C$7*($C$3/100))*($C$4/100))/($C$5+$C$6))*$C$5)
+(((('Jan''16'!C32*8.34*$D$7*($D$3/100))*($D$4/100))/($D$5+$D$6))*$D$5)
+((((E32*8.34*$E$7*($E$3/100))*($E$4/100))/($E$5+$E$6))*$E$5)
+((((F32*8.34*$F$7*($F$3/100))*($F$4/100))/($F$5+$F$6))*$F$5)
+((((G32*8.34*$G$7*($G$3/100))*($G$4/100))/($G$5+$G$6))*$G$5)
+((((H32*8.34*$H$7*($H$3/100))*($H$4/100))/($H$5+$H$6))*$H$5)
+((((I32*8.34*$I$7*($I$3/100))*($I$4/100))/($I$5+$I$6))*$I$5)
+((((J32*8.34*$J$7*($J$3/100))*($J$4/100))/($J$5+$J$6))*$J$5)
+((((K32*8.34*$K$7*($K$3/100))*($K$4/100))/($K$5+$K$6))*$K$5)
+((((L32*8.34*$L$7*($L$3/100))*($L$4/100))/($L$5+$L$6))*$L$5)
+((((M32*8.34*$M$7*($M$3/100))*($M$4/100))/($M$5+$M$6))*$M$5)
+((((N32*8.34*$N$7*($N$3/100))*($N$4/100))/($N$5+$N$6))*$N$5)
+((((P32*8.34*$P$7*($P$3/100))*($P$4/100))/($P$5+$P$6))*$P$5)
+((((Q32*8.34*$Q$7*($Q$3/100))*($Q$4/100))/($Q$5+$Q$6))*$Q$5)
+((((R32*8.34*$R$7*($R$3/100))*($R$4/100))/($R$5+$R$6))*$R$5)
+((((V32*8.34*$V$7*($V$3/100))*($V$4/100))/($V$5+$V$6))*$V$5)
+(((((W32*$W$2)*8.34*$W$7*($W$3/100))*($W$4/100))/($W$5+$W$6))*$W$5)
+((((X32*8.34*$X$7*($X$3/100))*($X$4/100))/($X$5+$X$6))*$X$5)
+((((Y32*8.34*$Y$7*($Y$3/100))*($Y$4/100))/($Y$5+$Y$6))*$Y$5)</f>
        <v>7817.6954475060211</v>
      </c>
      <c r="AN32" s="102">
        <f>((((C32*8.34*$C$7*($C$3/100))*($C$4/100))/($C$5+$C$6))*$C$6)
+(((('Jan''16'!C32*8.34*$D$7*($D$3/100))*($D$4/100))/($D$5+$D$6))*$D$6)
+((((E32*8.34*$E$7*($E$3/100))*($E$4/100))/($E$5+$E$6))*$E$6)
+((((F32*8.34*$F$7*($F$3/100))*($F$4/100))/($F$5+$F$6))*$F$6)
+((((G32*8.34*$G$7*($G$3/100))*($G$4/100))/($G$5+$G$6))*$G$6)
+((((H32*8.34*$H$7*($H$3/100))*($H$4/100))/($H$5+$H$6))*$H$6)
+((((I32*8.34*$I$7*($I$3/100))*($I$4/100))/($I$5+$I$6))*$I$6)
+((((J32*8.34*$J$7*($J$3/100))*($J$4/100))/($J$5+$J$6))*$J$6)
+((((K32*8.34*$K$7*($K$3/100))*($K$4/100))/($K$5+$K$6))*$K$6)
+((((L32*8.34*$L$7*($L$3/100))*($L$4/100))/($L$5+$L$6))*$L$6)
+((((M32*8.34*$M$7*($M$3/100))*($M$4/100))/($M$5+$M$6))*$M$6)
+((((N32*8.34*$N$7*($N$3/100))*($N$4/100))/($N$5+$N$6))*$N$6)
+((((P32*8.34*$P$7*($P$3/100))*($P$4/100))/($P$5+$P$6))*$P$6)
+((((Q32*8.34*$Q$7*($Q$3/100))*($Q$4/100))/($Q$5+$Q$6))*$Q$6)
+((((R32*8.34*$R$7*($R$3/100))*($R$4/100))/($R$5+$R$6))*$R$6)
+((((V32*8.34*$V$7*($V$3/100))*($V$4/100))/($V$5+$V$6))*$V$6)
+(((((W32*$W$2) *8.34*$W$7*($W$3/100))*($W$4/100))/($W$5+$W$6))*$W$6)
+((((X32*8.34*$X$7*($X$3/100))*($X$4/100))/($X$5+$X$6))*$X$6)
+((((Y32*8.34*$Y$7*($Y$3/100))*($Y$4/100))/($Y$5+$Y$6))*$Y$6)</f>
        <v>587.57339249397921</v>
      </c>
      <c r="AO32" s="46">
        <f t="shared" si="6"/>
        <v>13.305053542883375</v>
      </c>
      <c r="AP32" s="68">
        <v>1</v>
      </c>
      <c r="AR32" s="7">
        <f>(C32*($C$3/100)*($C$4/100)*$C$7*8.34*0.000453592*$C$8)+
('Jan''16'!C32*($D$3/100)*($D$4/100)*$D$7*8.34*0.000453592*$D$8)+
(E32*($E$3/100)*($E$4/100)*$E$7*8.34*0.000453592*$E$8)+
(F32*($F$3/100)*($F$4/100)*$F$7*8.34*0.000453592*$F$8)+
(G32*($G$3/100)*($G$4/100)*$G$7*8.34*0.000453592*$G$8)+
(H32*($H$3/100)*($H$4/100)*$H$7*8.34*0.000453592*$H$8)+
(I32*($I$3/100)*($I$4/100)*$I$7*8.34*0.000453592*$I$8)+
(J32*($J$3/100)*($J$4/100)*$J$7*8.34*0.000453592*$J$8)+
(K32*($K$3/100)*($K$4/100)*$K$7*8.34*0.000453592*$K$8)+
(L32*($L$3/100)*($L$4/100)*$L$7*8.34*0.000453592*$L$8)+
(M32*($M$3/100)*($M$4/100)*$M$7*8.34*0.000453592*$M$8)+
(N32*($N$3/100)*($N$4/100)*$N$7*8.34*0.000453592*$N$8)+
(P32*($P$3/100)*($P$4/100)*$P$7*8.34*0.000453592*$P$8)+
(Q32*($Q$3/100)*($Q$4/100)*$Q$7*8.34*0.000453592*$Q$8)+
(R32*($R$3/100)*($R$4/100)*$R$7*8.34*0.000453592*$R$8)+
(V32*($V$3/100)*($V$4/100)*$V$7*8.34*0.000453592*$V$8)+
(W32*$W$2*($W$3/100)*($BW$4/100)*$W$7*8.34*0.000453592*$W$8)+
(X32*($X$3/100)*($X$4/100)*$X$7*8.34*0.000453592*$X$8)+
(Y32*($Y$3/100)*($Y$4/100)*$Y$7*8.34*0.000453592*$Y$8)</f>
        <v>1820.5406250854401</v>
      </c>
      <c r="AS32" s="7">
        <f t="shared" si="7"/>
        <v>4238.2185751989045</v>
      </c>
    </row>
    <row r="33" spans="1:46">
      <c r="A33" t="s">
        <v>89</v>
      </c>
      <c r="B33">
        <v>23</v>
      </c>
      <c r="C33" s="112">
        <v>4000</v>
      </c>
      <c r="D33" s="30">
        <v>2000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26">
        <v>4000</v>
      </c>
      <c r="L33" s="8">
        <v>0</v>
      </c>
      <c r="M33" s="8">
        <v>0</v>
      </c>
      <c r="N33" s="8">
        <v>0</v>
      </c>
      <c r="O33" s="8">
        <v>23</v>
      </c>
      <c r="P33" s="112">
        <v>4000</v>
      </c>
      <c r="Q33" s="30">
        <v>500</v>
      </c>
      <c r="R33" s="98">
        <v>0</v>
      </c>
      <c r="S33" s="30">
        <v>22</v>
      </c>
      <c r="T33" s="26">
        <v>0</v>
      </c>
      <c r="U33" s="2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113"/>
      <c r="AC33" s="10">
        <f t="shared" si="0"/>
        <v>10000</v>
      </c>
      <c r="AD33" s="34">
        <f t="shared" si="8"/>
        <v>4522</v>
      </c>
      <c r="AE33" s="10">
        <f t="shared" si="1"/>
        <v>14522</v>
      </c>
      <c r="AF33" s="72">
        <f t="shared" si="2"/>
        <v>68.861038424459437</v>
      </c>
      <c r="AG33" s="72">
        <f t="shared" si="3"/>
        <v>31.138961575540559</v>
      </c>
      <c r="AI33" s="70">
        <f>((C33*8.34*$C$7*($C$3/100))*($C$4/100))+(('Jan''16'!C33*8.34*$D$7*($D$3/100))*($D$4/100))+ ((E33*8.34*$E$7*($E$3/100))*($E$4/100))+((F33*8.34*$F$7*($F$3/100))*($F$4/100))+ ((G33*8.34*$G$7*($G$3/100))*($G$4/100))+((H33*8.34*$H$7*($H$3/100))*($H$4/100))+ ((I33*8.34*$I$7*($I$3/100))*($I$4/100))+((J33*8.34*$J$7*($J$3/100))*($J$4/100))+ ((K33*8.34*$K$7*($K$3/100))*($K$4/100))+((L33*8.34*$L$7*($L$3/100))*($L$4/100))+ ((M33*8.34*$M$7*($M$3/100))*($M$4/100))+((N33*8.34*$N$7*($N$3/100))*($N$4/100))+ ((P33*8.34*$P$7*($P$3/100))*($P$4/100))+((Q33*8.34*$Q$7*($Q$3/100))*($Q$4/100))+
((R33*8.34*$R$7*($R$3/100))*($R$4/100))+((S33*8.34*$S$7*($S$3/100))*($S$4/100))+
((V33*8.34*$V$7*($V$3/100))*($V$4/100))+(((W33*$W$2)*8.34*$W$7*($W$3/100))*($W$4/100))+
((X33*8.34*$X$7*($X$3/100))*($X$4/100))+((Y33*8.34*$Y$7*($Y$3/100))*($Y$4/100))</f>
        <v>7440.8479200000002</v>
      </c>
      <c r="AJ33" s="17">
        <f t="shared" si="4"/>
        <v>0.10799488998548622</v>
      </c>
      <c r="AK33" s="17">
        <f t="shared" si="5"/>
        <v>2.3472706372239749E-2</v>
      </c>
      <c r="AM33" s="102">
        <f>((((C33*8.34*$C$7*($C$3/100))*($C$4/100))/($C$5+$C$6))*$C$5)
+(((('Jan''16'!C33*8.34*$D$7*($D$3/100))*($D$4/100))/($D$5+$D$6))*$D$5)
+((((E33*8.34*$E$7*($E$3/100))*($E$4/100))/($E$5+$E$6))*$E$5)
+((((F33*8.34*$F$7*($F$3/100))*($F$4/100))/($F$5+$F$6))*$F$5)
+((((G33*8.34*$G$7*($G$3/100))*($G$4/100))/($G$5+$G$6))*$G$5)
+((((H33*8.34*$H$7*($H$3/100))*($H$4/100))/($H$5+$H$6))*$H$5)
+((((I33*8.34*$I$7*($I$3/100))*($I$4/100))/($I$5+$I$6))*$I$5)
+((((J33*8.34*$J$7*($J$3/100))*($J$4/100))/($J$5+$J$6))*$J$5)
+((((K33*8.34*$K$7*($K$3/100))*($K$4/100))/($K$5+$K$6))*$K$5)
+((((L33*8.34*$L$7*($L$3/100))*($L$4/100))/($L$5+$L$6))*$L$5)
+((((M33*8.34*$M$7*($M$3/100))*($M$4/100))/($M$5+$M$6))*$M$5)
+((((N33*8.34*$N$7*($N$3/100))*($N$4/100))/($N$5+$N$6))*$N$5)
+((((P33*8.34*$P$7*($P$3/100))*($P$4/100))/($P$5+$P$6))*$P$5)
+((((Q33*8.34*$Q$7*($Q$3/100))*($Q$4/100))/($Q$5+$Q$6))*$Q$5)
+((((R33*8.34*$R$7*($R$3/100))*($R$4/100))/($R$5+$R$6))*$R$5)
+((((V33*8.34*$V$7*($V$3/100))*($V$4/100))/($V$5+$V$6))*$V$5)
+(((((W33*$W$2)*8.34*$W$7*($W$3/100))*($W$4/100))/($W$5+$W$6))*$W$5)
+((((X33*8.34*$X$7*($X$3/100))*($X$4/100))/($X$5+$X$6))*$X$5)
+((((Y33*8.34*$Y$7*($Y$3/100))*($Y$4/100))/($Y$5+$Y$6))*$Y$5)</f>
        <v>6835.5309487530112</v>
      </c>
      <c r="AN33" s="102">
        <f>((((C33*8.34*$C$7*($C$3/100))*($C$4/100))/($C$5+$C$6))*$C$6)
+(((('Jan''16'!C33*8.34*$D$7*($D$3/100))*($D$4/100))/($D$5+$D$6))*$D$6)
+((((E33*8.34*$E$7*($E$3/100))*($E$4/100))/($E$5+$E$6))*$E$6)
+((((F33*8.34*$F$7*($F$3/100))*($F$4/100))/($F$5+$F$6))*$F$6)
+((((G33*8.34*$G$7*($G$3/100))*($G$4/100))/($G$5+$G$6))*$G$6)
+((((H33*8.34*$H$7*($H$3/100))*($H$4/100))/($H$5+$H$6))*$H$6)
+((((I33*8.34*$I$7*($I$3/100))*($I$4/100))/($I$5+$I$6))*$I$6)
+((((J33*8.34*$J$7*($J$3/100))*($J$4/100))/($J$5+$J$6))*$J$6)
+((((K33*8.34*$K$7*($K$3/100))*($K$4/100))/($K$5+$K$6))*$K$6)
+((((L33*8.34*$L$7*($L$3/100))*($L$4/100))/($L$5+$L$6))*$L$6)
+((((M33*8.34*$M$7*($M$3/100))*($M$4/100))/($M$5+$M$6))*$M$6)
+((((N33*8.34*$N$7*($N$3/100))*($N$4/100))/($N$5+$N$6))*$N$6)
+((((P33*8.34*$P$7*($P$3/100))*($P$4/100))/($P$5+$P$6))*$P$6)
+((((Q33*8.34*$Q$7*($Q$3/100))*($Q$4/100))/($Q$5+$Q$6))*$Q$6)
+((((R33*8.34*$R$7*($R$3/100))*($R$4/100))/($R$5+$R$6))*$R$6)
+((((V33*8.34*$V$7*($V$3/100))*($V$4/100))/($V$5+$V$6))*$V$6)
+(((((W33*$W$2) *8.34*$W$7*($W$3/100))*($W$4/100))/($W$5+$W$6))*$W$6)
+((((X33*8.34*$X$7*($X$3/100))*($X$4/100))/($X$5+$X$6))*$X$6)
+((((Y33*8.34*$Y$7*($Y$3/100))*($Y$4/100))/($Y$5+$Y$6))*$Y$6)</f>
        <v>605.31697124698962</v>
      </c>
      <c r="AO33" s="46">
        <f t="shared" si="6"/>
        <v>11.292481911867437</v>
      </c>
      <c r="AP33" s="68">
        <v>1</v>
      </c>
      <c r="AR33" s="7">
        <f>(C33*($C$3/100)*($C$4/100)*$C$7*8.34*0.000453592*$C$8)+
('Jan''16'!C33*($D$3/100)*($D$4/100)*$D$7*8.34*0.000453592*$D$8)+
(E33*($E$3/100)*($E$4/100)*$E$7*8.34*0.000453592*$E$8)+
(F33*($F$3/100)*($F$4/100)*$F$7*8.34*0.000453592*$F$8)+
(G33*($G$3/100)*($G$4/100)*$G$7*8.34*0.000453592*$G$8)+
(H33*($H$3/100)*($H$4/100)*$H$7*8.34*0.000453592*$H$8)+
(I33*($I$3/100)*($I$4/100)*$I$7*8.34*0.000453592*$I$8)+
(J33*($J$3/100)*($J$4/100)*$J$7*8.34*0.000453592*$J$8)+
(K33*($K$3/100)*($K$4/100)*$K$7*8.34*0.000453592*$K$8)+
(L33*($L$3/100)*($L$4/100)*$L$7*8.34*0.000453592*$L$8)+
(M33*($M$3/100)*($M$4/100)*$M$7*8.34*0.000453592*$M$8)+
(N33*($N$3/100)*($N$4/100)*$N$7*8.34*0.000453592*$N$8)+
(P33*($P$3/100)*($P$4/100)*$P$7*8.34*0.000453592*$P$8)+
(Q33*($Q$3/100)*($Q$4/100)*$Q$7*8.34*0.000453592*$Q$8)+
(R33*($R$3/100)*($R$4/100)*$R$7*8.34*0.000453592*$R$8)+
(V33*($V$3/100)*($V$4/100)*$V$7*8.34*0.000453592*$V$8)+
(W33*$W$2*($W$3/100)*($BW$4/100)*$W$7*8.34*0.000453592*$W$8)+
(X33*($X$3/100)*($X$4/100)*$X$7*8.34*0.000453592*$X$8)+
(Y33*($Y$3/100)*($Y$4/100)*$Y$7*8.34*0.000453592*$Y$8)</f>
        <v>1511.8513110374402</v>
      </c>
      <c r="AS33" s="7">
        <f t="shared" si="7"/>
        <v>3519.5898520951605</v>
      </c>
    </row>
    <row r="34" spans="1:46">
      <c r="B34">
        <v>24</v>
      </c>
      <c r="C34" s="112">
        <v>3200</v>
      </c>
      <c r="D34" s="30">
        <v>2000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26">
        <v>4000</v>
      </c>
      <c r="L34" s="8">
        <v>0</v>
      </c>
      <c r="M34" s="8">
        <v>0</v>
      </c>
      <c r="N34" s="8">
        <v>0</v>
      </c>
      <c r="O34" s="8">
        <v>24</v>
      </c>
      <c r="P34" s="112">
        <v>900</v>
      </c>
      <c r="Q34" s="76">
        <v>0</v>
      </c>
      <c r="R34" s="98">
        <v>0</v>
      </c>
      <c r="S34" s="76">
        <v>0</v>
      </c>
      <c r="T34" s="76">
        <v>0</v>
      </c>
      <c r="U34" s="76">
        <v>0</v>
      </c>
      <c r="V34" s="76">
        <v>0</v>
      </c>
      <c r="W34" s="26">
        <v>17</v>
      </c>
      <c r="X34" s="76">
        <v>0</v>
      </c>
      <c r="Y34" s="76">
        <v>0</v>
      </c>
      <c r="Z34" s="76">
        <v>0</v>
      </c>
      <c r="AA34" s="113"/>
      <c r="AC34" s="10">
        <f t="shared" si="0"/>
        <v>9200</v>
      </c>
      <c r="AD34" s="34">
        <f t="shared" si="8"/>
        <v>1512</v>
      </c>
      <c r="AE34" s="10">
        <f t="shared" si="1"/>
        <v>10712</v>
      </c>
      <c r="AF34" s="72">
        <f t="shared" si="2"/>
        <v>85.884988797610163</v>
      </c>
      <c r="AG34" s="72">
        <f t="shared" si="3"/>
        <v>14.115011202389843</v>
      </c>
      <c r="AI34" s="70">
        <f>((C34*8.34*$C$7*($C$3/100))*($C$4/100))+(('Jan''16'!C34*8.34*$D$7*($D$3/100))*($D$4/100))+ ((E34*8.34*$E$7*($E$3/100))*($E$4/100))+((F34*8.34*$F$7*($F$3/100))*($F$4/100))+ ((G34*8.34*$G$7*($G$3/100))*($G$4/100))+((H34*8.34*$H$7*($H$3/100))*($H$4/100))+ ((I34*8.34*$I$7*($I$3/100))*($I$4/100))+((J34*8.34*$J$7*($J$3/100))*($J$4/100))+ ((K34*8.34*$K$7*($K$3/100))*($K$4/100))+((L34*8.34*$L$7*($L$3/100))*($L$4/100))+ ((M34*8.34*$M$7*($M$3/100))*($M$4/100))+((N34*8.34*$N$7*($N$3/100))*($N$4/100))+ ((P34*8.34*$P$7*($P$3/100))*($P$4/100))+((Q34*8.34*$Q$7*($Q$3/100))*($Q$4/100))+
((R34*8.34*$R$7*($R$3/100))*($R$4/100))+((S34*8.34*$S$7*($S$3/100))*($S$4/100))+
((V34*8.34*$V$7*($V$3/100))*($V$4/100))+(((W34*$W$2)*8.34*$W$7*($W$3/100))*($W$4/100))+
((X34*8.34*$X$7*($X$3/100))*($X$4/100))+((Y34*8.34*$Y$7*($Y$3/100))*($Y$4/100))</f>
        <v>5112.7369200000003</v>
      </c>
      <c r="AJ34" s="17">
        <f t="shared" si="4"/>
        <v>7.4205180261248185E-2</v>
      </c>
      <c r="AK34" s="17">
        <f t="shared" si="5"/>
        <v>1.6128507634069401E-2</v>
      </c>
      <c r="AM34" s="102">
        <f>((((C34*8.34*$C$7*($C$3/100))*($C$4/100))/($C$5+$C$6))*$C$5)
+(((('Jan''16'!C34*8.34*$D$7*($D$3/100))*($D$4/100))/($D$5+$D$6))*$D$5)
+((((E34*8.34*$E$7*($E$3/100))*($E$4/100))/($E$5+$E$6))*$E$5)
+((((F34*8.34*$F$7*($F$3/100))*($F$4/100))/($F$5+$F$6))*$F$5)
+((((G34*8.34*$G$7*($G$3/100))*($G$4/100))/($G$5+$G$6))*$G$5)
+((((H34*8.34*$H$7*($H$3/100))*($H$4/100))/($H$5+$H$6))*$H$5)
+((((I34*8.34*$I$7*($I$3/100))*($I$4/100))/($I$5+$I$6))*$I$5)
+((((J34*8.34*$J$7*($J$3/100))*($J$4/100))/($J$5+$J$6))*$J$5)
+((((K34*8.34*$K$7*($K$3/100))*($K$4/100))/($K$5+$K$6))*$K$5)
+((((L34*8.34*$L$7*($L$3/100))*($L$4/100))/($L$5+$L$6))*$L$5)
+((((M34*8.34*$M$7*($M$3/100))*($M$4/100))/($M$5+$M$6))*$M$5)
+((((N34*8.34*$N$7*($N$3/100))*($N$4/100))/($N$5+$N$6))*$N$5)
+((((P34*8.34*$P$7*($P$3/100))*($P$4/100))/($P$5+$P$6))*$P$5)
+((((Q34*8.34*$Q$7*($Q$3/100))*($Q$4/100))/($Q$5+$Q$6))*$Q$5)
+((((R34*8.34*$R$7*($R$3/100))*($R$4/100))/($R$5+$R$6))*$R$5)
+((((V34*8.34*$V$7*($V$3/100))*($V$4/100))/($V$5+$V$6))*$V$5)
+(((((W34*$W$2)*8.34*$W$7*($W$3/100))*($W$4/100))/($W$5+$W$6))*$W$5)
+((((X34*8.34*$X$7*($X$3/100))*($X$4/100))/($X$5+$X$6))*$X$5)
+((((Y34*8.34*$Y$7*($Y$3/100))*($Y$4/100))/($Y$5+$Y$6))*$Y$5)</f>
        <v>4668.1735903088802</v>
      </c>
      <c r="AN34" s="102">
        <f>((((C34*8.34*$C$7*($C$3/100))*($C$4/100))/($C$5+$C$6))*$C$6)
+(((('Jan''16'!C34*8.34*$D$7*($D$3/100))*($D$4/100))/($D$5+$D$6))*$D$6)
+((((E34*8.34*$E$7*($E$3/100))*($E$4/100))/($E$5+$E$6))*$E$6)
+((((F34*8.34*$F$7*($F$3/100))*($F$4/100))/($F$5+$F$6))*$F$6)
+((((G34*8.34*$G$7*($G$3/100))*($G$4/100))/($G$5+$G$6))*$G$6)
+((((H34*8.34*$H$7*($H$3/100))*($H$4/100))/($H$5+$H$6))*$H$6)
+((((I34*8.34*$I$7*($I$3/100))*($I$4/100))/($I$5+$I$6))*$I$6)
+((((J34*8.34*$J$7*($J$3/100))*($J$4/100))/($J$5+$J$6))*$J$6)
+((((K34*8.34*$K$7*($K$3/100))*($K$4/100))/($K$5+$K$6))*$K$6)
+((((L34*8.34*$L$7*($L$3/100))*($L$4/100))/($L$5+$L$6))*$L$6)
+((((M34*8.34*$M$7*($M$3/100))*($M$4/100))/($M$5+$M$6))*$M$6)
+((((N34*8.34*$N$7*($N$3/100))*($N$4/100))/($N$5+$N$6))*$N$6)
+((((P34*8.34*$P$7*($P$3/100))*($P$4/100))/($P$5+$P$6))*$P$6)
+((((Q34*8.34*$Q$7*($Q$3/100))*($Q$4/100))/($Q$5+$Q$6))*$Q$6)
+((((R34*8.34*$R$7*($R$3/100))*($R$4/100))/($R$5+$R$6))*$R$6)
+((((V34*8.34*$V$7*($V$3/100))*($V$4/100))/($V$5+$V$6))*$V$6)
+(((((W34*$W$2) *8.34*$W$7*($W$3/100))*($W$4/100))/($W$5+$W$6))*$W$6)
+((((X34*8.34*$X$7*($X$3/100))*($X$4/100))/($X$5+$X$6))*$X$6)
+((((Y34*8.34*$Y$7*($Y$3/100))*($Y$4/100))/($Y$5+$Y$6))*$Y$6)</f>
        <v>444.56332969111969</v>
      </c>
      <c r="AO34" s="46">
        <f t="shared" si="6"/>
        <v>10.500581758626614</v>
      </c>
      <c r="AP34" s="68">
        <v>1</v>
      </c>
      <c r="AR34" s="7">
        <f>(C34*($C$3/100)*($C$4/100)*$C$7*8.34*0.000453592*$C$8)+
('Jan''16'!C34*($D$3/100)*($D$4/100)*$D$7*8.34*0.000453592*$D$8)+
(E34*($E$3/100)*($E$4/100)*$E$7*8.34*0.000453592*$E$8)+
(F34*($F$3/100)*($F$4/100)*$F$7*8.34*0.000453592*$F$8)+
(G34*($G$3/100)*($G$4/100)*$G$7*8.34*0.000453592*$G$8)+
(H34*($H$3/100)*($H$4/100)*$H$7*8.34*0.000453592*$H$8)+
(I34*($I$3/100)*($I$4/100)*$I$7*8.34*0.000453592*$I$8)+
(J34*($J$3/100)*($J$4/100)*$J$7*8.34*0.000453592*$J$8)+
(K34*($K$3/100)*($K$4/100)*$K$7*8.34*0.000453592*$K$8)+
(L34*($L$3/100)*($L$4/100)*$L$7*8.34*0.000453592*$L$8)+
(M34*($M$3/100)*($M$4/100)*$M$7*8.34*0.000453592*$M$8)+
(N34*($N$3/100)*($N$4/100)*$N$7*8.34*0.000453592*$N$8)+
(P34*($P$3/100)*($P$4/100)*$P$7*8.34*0.000453592*$P$8)+
(Q34*($Q$3/100)*($Q$4/100)*$Q$7*8.34*0.000453592*$Q$8)+
(R34*($R$3/100)*($R$4/100)*$R$7*8.34*0.000453592*$R$8)+
(V34*($V$3/100)*($V$4/100)*$V$7*8.34*0.000453592*$V$8)+
(W34*$W$2*($W$3/100)*($BW$4/100)*$W$7*8.34*0.000453592*$W$8)+
(X34*($X$3/100)*($X$4/100)*$X$7*8.34*0.000453592*$X$8)+
(Y34*($Y$3/100)*($Y$4/100)*$Y$7*8.34*0.000453592*$Y$8)</f>
        <v>491.54460690844803</v>
      </c>
      <c r="AS34" s="7">
        <f t="shared" si="7"/>
        <v>1144.3158448828669</v>
      </c>
    </row>
    <row r="35" spans="1:46">
      <c r="B35">
        <v>25</v>
      </c>
      <c r="C35" s="112"/>
      <c r="E35" s="26"/>
      <c r="F35" s="26"/>
      <c r="G35" s="26"/>
      <c r="H35" s="26"/>
      <c r="I35" s="26"/>
      <c r="J35" s="26"/>
      <c r="K35" s="26"/>
      <c r="L35" s="26"/>
      <c r="M35" s="26"/>
      <c r="N35" s="113"/>
      <c r="O35" s="8">
        <v>25</v>
      </c>
      <c r="P35" s="112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3"/>
      <c r="AC35" s="10">
        <f t="shared" si="0"/>
        <v>0</v>
      </c>
      <c r="AD35" s="34">
        <f t="shared" si="8"/>
        <v>0</v>
      </c>
      <c r="AE35" s="10">
        <f t="shared" si="1"/>
        <v>0</v>
      </c>
      <c r="AF35" s="72" t="e">
        <f t="shared" si="2"/>
        <v>#DIV/0!</v>
      </c>
      <c r="AG35" s="72" t="e">
        <f t="shared" si="3"/>
        <v>#DIV/0!</v>
      </c>
      <c r="AI35" s="70">
        <f>((C35*8.34*$C$7*($C$3/100))*($C$4/100))+(('Jan''16'!C35*8.34*$D$7*($D$3/100))*($D$4/100))+ ((E35*8.34*$E$7*($E$3/100))*($E$4/100))+((F35*8.34*$F$7*($F$3/100))*($F$4/100))+ ((G35*8.34*$G$7*($G$3/100))*($G$4/100))+((H35*8.34*$H$7*($H$3/100))*($H$4/100))+ ((I35*8.34*$I$7*($I$3/100))*($I$4/100))+((J35*8.34*$J$7*($J$3/100))*($J$4/100))+ ((K35*8.34*$K$7*($K$3/100))*($K$4/100))+((L35*8.34*$L$7*($L$3/100))*($L$4/100))+ ((M35*8.34*$M$7*($M$3/100))*($M$4/100))+((N35*8.34*$N$7*($N$3/100))*($N$4/100))+ ((P35*8.34*$P$7*($P$3/100))*($P$4/100))+((Q35*8.34*$Q$7*($Q$3/100))*($Q$4/100))+
((R35*8.34*$R$7*($R$3/100))*($R$4/100))+((S35*8.34*$S$7*($S$3/100))*($S$4/100))+
((V35*8.34*$V$7*($V$3/100))*($V$4/100))+(((W35*$W$2)*8.34*$W$7*($W$3/100))*($W$4/100))+
((X35*8.34*$X$7*($X$3/100))*($X$4/100))+((Y35*8.34*$Y$7*($Y$3/100))*($Y$4/100))</f>
        <v>1084.6170000000002</v>
      </c>
      <c r="AJ35" s="17">
        <f t="shared" si="4"/>
        <v>1.5741901306240931E-2</v>
      </c>
      <c r="AK35" s="17">
        <f t="shared" si="5"/>
        <v>3.4215047318611994E-3</v>
      </c>
      <c r="AM35" s="102">
        <f>((((C35*8.34*$C$7*($C$3/100))*($C$4/100))/($C$5+$C$6))*$C$5)
+(((('Jan''16'!C35*8.34*$D$7*($D$3/100))*($D$4/100))/($D$5+$D$6))*$D$5)
+((((E35*8.34*$E$7*($E$3/100))*($E$4/100))/($E$5+$E$6))*$E$5)
+((((F35*8.34*$F$7*($F$3/100))*($F$4/100))/($F$5+$F$6))*$F$5)
+((((G35*8.34*$G$7*($G$3/100))*($G$4/100))/($G$5+$G$6))*$G$5)
+((((H35*8.34*$H$7*($H$3/100))*($H$4/100))/($H$5+$H$6))*$H$5)
+((((I35*8.34*$I$7*($I$3/100))*($I$4/100))/($I$5+$I$6))*$I$5)
+((((J35*8.34*$J$7*($J$3/100))*($J$4/100))/($J$5+$J$6))*$J$5)
+((((K35*8.34*$K$7*($K$3/100))*($K$4/100))/($K$5+$K$6))*$K$5)
+((((L35*8.34*$L$7*($L$3/100))*($L$4/100))/($L$5+$L$6))*$L$5)
+((((M35*8.34*$M$7*($M$3/100))*($M$4/100))/($M$5+$M$6))*$M$5)
+((((N35*8.34*$N$7*($N$3/100))*($N$4/100))/($N$5+$N$6))*$N$5)
+((((P35*8.34*$P$7*($P$3/100))*($P$4/100))/($P$5+$P$6))*$P$5)
+((((Q35*8.34*$Q$7*($Q$3/100))*($Q$4/100))/($Q$5+$Q$6))*$Q$5)
+((((R35*8.34*$R$7*($R$3/100))*($R$4/100))/($R$5+$R$6))*$R$5)
+((((V35*8.34*$V$7*($V$3/100))*($V$4/100))/($V$5+$V$6))*$V$5)
+(((((W35*$W$2)*8.34*$W$7*($W$3/100))*($W$4/100))/($W$5+$W$6))*$W$5)
+((((X35*8.34*$X$7*($X$3/100))*($X$4/100))/($X$5+$X$6))*$X$5)
+((((Y35*8.34*$Y$7*($Y$3/100))*($Y$4/100))/($Y$5+$Y$6))*$Y$5)</f>
        <v>1030.3861500000003</v>
      </c>
      <c r="AN35" s="102">
        <f>((((C35*8.34*$C$7*($C$3/100))*($C$4/100))/($C$5+$C$6))*$C$6)
+(((('Jan''16'!C35*8.34*$D$7*($D$3/100))*($D$4/100))/($D$5+$D$6))*$D$6)
+((((E35*8.34*$E$7*($E$3/100))*($E$4/100))/($E$5+$E$6))*$E$6)
+((((F35*8.34*$F$7*($F$3/100))*($F$4/100))/($F$5+$F$6))*$F$6)
+((((G35*8.34*$G$7*($G$3/100))*($G$4/100))/($G$5+$G$6))*$G$6)
+((((H35*8.34*$H$7*($H$3/100))*($H$4/100))/($H$5+$H$6))*$H$6)
+((((I35*8.34*$I$7*($I$3/100))*($I$4/100))/($I$5+$I$6))*$I$6)
+((((J35*8.34*$J$7*($J$3/100))*($J$4/100))/($J$5+$J$6))*$J$6)
+((((K35*8.34*$K$7*($K$3/100))*($K$4/100))/($K$5+$K$6))*$K$6)
+((((L35*8.34*$L$7*($L$3/100))*($L$4/100))/($L$5+$L$6))*$L$6)
+((((M35*8.34*$M$7*($M$3/100))*($M$4/100))/($M$5+$M$6))*$M$6)
+((((N35*8.34*$N$7*($N$3/100))*($N$4/100))/($N$5+$N$6))*$N$6)
+((((P35*8.34*$P$7*($P$3/100))*($P$4/100))/($P$5+$P$6))*$P$6)
+((((Q35*8.34*$Q$7*($Q$3/100))*($Q$4/100))/($Q$5+$Q$6))*$Q$6)
+((((R35*8.34*$R$7*($R$3/100))*($R$4/100))/($R$5+$R$6))*$R$6)
+((((V35*8.34*$V$7*($V$3/100))*($V$4/100))/($V$5+$V$6))*$V$6)
+(((((W35*$W$2) *8.34*$W$7*($W$3/100))*($W$4/100))/($W$5+$W$6))*$W$6)
+((((X35*8.34*$X$7*($X$3/100))*($X$4/100))/($X$5+$X$6))*$X$6)
+((((Y35*8.34*$Y$7*($Y$3/100))*($Y$4/100))/($Y$5+$Y$6))*$Y$6)</f>
        <v>54.230850000000011</v>
      </c>
      <c r="AO35" s="46">
        <f t="shared" si="6"/>
        <v>19</v>
      </c>
      <c r="AP35" s="68">
        <v>1</v>
      </c>
      <c r="AR35" s="7">
        <f>(C35*($C$3/100)*($C$4/100)*$C$7*8.34*0.000453592*$C$8)+
('Jan''16'!C35*($D$3/100)*($D$4/100)*$D$7*8.34*0.000453592*$D$8)+
(E35*($E$3/100)*($E$4/100)*$E$7*8.34*0.000453592*$E$8)+
(F35*($F$3/100)*($F$4/100)*$F$7*8.34*0.000453592*$F$8)+
(G35*($G$3/100)*($G$4/100)*$G$7*8.34*0.000453592*$G$8)+
(H35*($H$3/100)*($H$4/100)*$H$7*8.34*0.000453592*$H$8)+
(I35*($I$3/100)*($I$4/100)*$I$7*8.34*0.000453592*$I$8)+
(J35*($J$3/100)*($J$4/100)*$J$7*8.34*0.000453592*$J$8)+
(K35*($K$3/100)*($K$4/100)*$K$7*8.34*0.000453592*$K$8)+
(L35*($L$3/100)*($L$4/100)*$L$7*8.34*0.000453592*$L$8)+
(M35*($M$3/100)*($M$4/100)*$M$7*8.34*0.000453592*$M$8)+
(N35*($N$3/100)*($N$4/100)*$N$7*8.34*0.000453592*$N$8)+
(P35*($P$3/100)*($P$4/100)*$P$7*8.34*0.000453592*$P$8)+
(Q35*($Q$3/100)*($Q$4/100)*$Q$7*8.34*0.000453592*$Q$8)+
(R35*($R$3/100)*($R$4/100)*$R$7*8.34*0.000453592*$R$8)+
(V35*($V$3/100)*($V$4/100)*$V$7*8.34*0.000453592*$V$8)+
(W35*$W$2*($W$3/100)*($BW$4/100)*$W$7*8.34*0.000453592*$W$8)+
(X35*($X$3/100)*($X$4/100)*$X$7*8.34*0.000453592*$X$8)+
(Y35*($Y$3/100)*($Y$4/100)*$Y$7*8.34*0.000453592*$Y$8)</f>
        <v>157.43155016448003</v>
      </c>
      <c r="AS35" s="7">
        <f t="shared" si="7"/>
        <v>366.50064878290954</v>
      </c>
    </row>
    <row r="36" spans="1:46">
      <c r="B36">
        <v>26</v>
      </c>
      <c r="C36" s="112"/>
      <c r="E36" s="26"/>
      <c r="F36" s="26"/>
      <c r="G36" s="26"/>
      <c r="H36" s="26"/>
      <c r="I36" s="26"/>
      <c r="J36" s="26"/>
      <c r="K36" s="26"/>
      <c r="L36" s="26"/>
      <c r="M36" s="26"/>
      <c r="N36" s="113"/>
      <c r="O36" s="8">
        <v>26</v>
      </c>
      <c r="P36" s="112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3"/>
      <c r="AC36" s="10">
        <f t="shared" si="0"/>
        <v>0</v>
      </c>
      <c r="AD36" s="34">
        <f t="shared" si="8"/>
        <v>0</v>
      </c>
      <c r="AE36" s="10">
        <f t="shared" si="1"/>
        <v>0</v>
      </c>
      <c r="AF36" s="72" t="e">
        <f t="shared" si="2"/>
        <v>#DIV/0!</v>
      </c>
      <c r="AG36" s="72" t="e">
        <f t="shared" si="3"/>
        <v>#DIV/0!</v>
      </c>
      <c r="AI36" s="70">
        <f>((C36*8.34*$C$7*($C$3/100))*($C$4/100))+(('Jan''16'!C36*8.34*$D$7*($D$3/100))*($D$4/100))+ ((E36*8.34*$E$7*($E$3/100))*($E$4/100))+((F36*8.34*$F$7*($F$3/100))*($F$4/100))+ ((G36*8.34*$G$7*($G$3/100))*($G$4/100))+((H36*8.34*$H$7*($H$3/100))*($H$4/100))+ ((I36*8.34*$I$7*($I$3/100))*($I$4/100))+((J36*8.34*$J$7*($J$3/100))*($J$4/100))+ ((K36*8.34*$K$7*($K$3/100))*($K$4/100))+((L36*8.34*$L$7*($L$3/100))*($L$4/100))+ ((M36*8.34*$M$7*($M$3/100))*($M$4/100))+((N36*8.34*$N$7*($N$3/100))*($N$4/100))+ ((P36*8.34*$P$7*($P$3/100))*($P$4/100))+((Q36*8.34*$Q$7*($Q$3/100))*($Q$4/100))+
((R36*8.34*$R$7*($R$3/100))*($R$4/100))+((S36*8.34*$S$7*($S$3/100))*($S$4/100))+
((V36*8.34*$V$7*($V$3/100))*($V$4/100))+(((W36*$W$2)*8.34*$W$7*($W$3/100))*($W$4/100))+
((X36*8.34*$X$7*($X$3/100))*($X$4/100))+((Y36*8.34*$Y$7*($Y$3/100))*($Y$4/100))</f>
        <v>1084.6170000000002</v>
      </c>
      <c r="AJ36" s="17">
        <f t="shared" si="4"/>
        <v>1.5741901306240931E-2</v>
      </c>
      <c r="AK36" s="17">
        <f t="shared" si="5"/>
        <v>3.4215047318611994E-3</v>
      </c>
      <c r="AM36" s="102">
        <f>((((C36*8.34*$C$7*($C$3/100))*($C$4/100))/($C$5+$C$6))*$C$5)
+(((('Jan''16'!C36*8.34*$D$7*($D$3/100))*($D$4/100))/($D$5+$D$6))*$D$5)
+((((E36*8.34*$E$7*($E$3/100))*($E$4/100))/($E$5+$E$6))*$E$5)
+((((F36*8.34*$F$7*($F$3/100))*($F$4/100))/($F$5+$F$6))*$F$5)
+((((G36*8.34*$G$7*($G$3/100))*($G$4/100))/($G$5+$G$6))*$G$5)
+((((H36*8.34*$H$7*($H$3/100))*($H$4/100))/($H$5+$H$6))*$H$5)
+((((I36*8.34*$I$7*($I$3/100))*($I$4/100))/($I$5+$I$6))*$I$5)
+((((J36*8.34*$J$7*($J$3/100))*($J$4/100))/($J$5+$J$6))*$J$5)
+((((K36*8.34*$K$7*($K$3/100))*($K$4/100))/($K$5+$K$6))*$K$5)
+((((L36*8.34*$L$7*($L$3/100))*($L$4/100))/($L$5+$L$6))*$L$5)
+((((M36*8.34*$M$7*($M$3/100))*($M$4/100))/($M$5+$M$6))*$M$5)
+((((N36*8.34*$N$7*($N$3/100))*($N$4/100))/($N$5+$N$6))*$N$5)
+((((P36*8.34*$P$7*($P$3/100))*($P$4/100))/($P$5+$P$6))*$P$5)
+((((Q36*8.34*$Q$7*($Q$3/100))*($Q$4/100))/($Q$5+$Q$6))*$Q$5)
+((((R36*8.34*$R$7*($R$3/100))*($R$4/100))/($R$5+$R$6))*$R$5)
+((((V36*8.34*$V$7*($V$3/100))*($V$4/100))/($V$5+$V$6))*$V$5)
+(((((W36*$W$2)*8.34*$W$7*($W$3/100))*($W$4/100))/($W$5+$W$6))*$W$5)
+((((X36*8.34*$X$7*($X$3/100))*($X$4/100))/($X$5+$X$6))*$X$5)
+((((Y36*8.34*$Y$7*($Y$3/100))*($Y$4/100))/($Y$5+$Y$6))*$Y$5)</f>
        <v>1030.3861500000003</v>
      </c>
      <c r="AN36" s="102">
        <f>((((C36*8.34*$C$7*($C$3/100))*($C$4/100))/($C$5+$C$6))*$C$6)
+(((('Jan''16'!C36*8.34*$D$7*($D$3/100))*($D$4/100))/($D$5+$D$6))*$D$6)
+((((E36*8.34*$E$7*($E$3/100))*($E$4/100))/($E$5+$E$6))*$E$6)
+((((F36*8.34*$F$7*($F$3/100))*($F$4/100))/($F$5+$F$6))*$F$6)
+((((G36*8.34*$G$7*($G$3/100))*($G$4/100))/($G$5+$G$6))*$G$6)
+((((H36*8.34*$H$7*($H$3/100))*($H$4/100))/($H$5+$H$6))*$H$6)
+((((I36*8.34*$I$7*($I$3/100))*($I$4/100))/($I$5+$I$6))*$I$6)
+((((J36*8.34*$J$7*($J$3/100))*($J$4/100))/($J$5+$J$6))*$J$6)
+((((K36*8.34*$K$7*($K$3/100))*($K$4/100))/($K$5+$K$6))*$K$6)
+((((L36*8.34*$L$7*($L$3/100))*($L$4/100))/($L$5+$L$6))*$L$6)
+((((M36*8.34*$M$7*($M$3/100))*($M$4/100))/($M$5+$M$6))*$M$6)
+((((N36*8.34*$N$7*($N$3/100))*($N$4/100))/($N$5+$N$6))*$N$6)
+((((P36*8.34*$P$7*($P$3/100))*($P$4/100))/($P$5+$P$6))*$P$6)
+((((Q36*8.34*$Q$7*($Q$3/100))*($Q$4/100))/($Q$5+$Q$6))*$Q$6)
+((((R36*8.34*$R$7*($R$3/100))*($R$4/100))/($R$5+$R$6))*$R$6)
+((((V36*8.34*$V$7*($V$3/100))*($V$4/100))/($V$5+$V$6))*$V$6)
+(((((W36*$W$2) *8.34*$W$7*($W$3/100))*($W$4/100))/($W$5+$W$6))*$W$6)
+((((X36*8.34*$X$7*($X$3/100))*($X$4/100))/($X$5+$X$6))*$X$6)
+((((Y36*8.34*$Y$7*($Y$3/100))*($Y$4/100))/($Y$5+$Y$6))*$Y$6)</f>
        <v>54.230850000000011</v>
      </c>
      <c r="AO36" s="46">
        <f t="shared" si="6"/>
        <v>19</v>
      </c>
      <c r="AP36" s="68">
        <v>1</v>
      </c>
      <c r="AR36" s="7">
        <f>(C36*($C$3/100)*($C$4/100)*$C$7*8.34*0.000453592*$C$8)+
('Jan''16'!C36*($D$3/100)*($D$4/100)*$D$7*8.34*0.000453592*$D$8)+
(E36*($E$3/100)*($E$4/100)*$E$7*8.34*0.000453592*$E$8)+
(F36*($F$3/100)*($F$4/100)*$F$7*8.34*0.000453592*$F$8)+
(G36*($G$3/100)*($G$4/100)*$G$7*8.34*0.000453592*$G$8)+
(H36*($H$3/100)*($H$4/100)*$H$7*8.34*0.000453592*$H$8)+
(I36*($I$3/100)*($I$4/100)*$I$7*8.34*0.000453592*$I$8)+
(J36*($J$3/100)*($J$4/100)*$J$7*8.34*0.000453592*$J$8)+
(K36*($K$3/100)*($K$4/100)*$K$7*8.34*0.000453592*$K$8)+
(L36*($L$3/100)*($L$4/100)*$L$7*8.34*0.000453592*$L$8)+
(M36*($M$3/100)*($M$4/100)*$M$7*8.34*0.000453592*$M$8)+
(N36*($N$3/100)*($N$4/100)*$N$7*8.34*0.000453592*$N$8)+
(P36*($P$3/100)*($P$4/100)*$P$7*8.34*0.000453592*$P$8)+
(Q36*($Q$3/100)*($Q$4/100)*$Q$7*8.34*0.000453592*$Q$8)+
(R36*($R$3/100)*($R$4/100)*$R$7*8.34*0.000453592*$R$8)+
(V36*($V$3/100)*($V$4/100)*$V$7*8.34*0.000453592*$V$8)+
(W36*$W$2*($W$3/100)*($BW$4/100)*$W$7*8.34*0.000453592*$W$8)+
(X36*($X$3/100)*($X$4/100)*$X$7*8.34*0.000453592*$X$8)+
(Y36*($Y$3/100)*($Y$4/100)*$Y$7*8.34*0.000453592*$Y$8)</f>
        <v>157.43155016448003</v>
      </c>
      <c r="AS36" s="7">
        <f t="shared" si="7"/>
        <v>366.50064878290954</v>
      </c>
    </row>
    <row r="37" spans="1:46">
      <c r="B37">
        <v>27</v>
      </c>
      <c r="C37" s="112"/>
      <c r="E37" s="26"/>
      <c r="F37" s="26"/>
      <c r="G37" s="26"/>
      <c r="H37" s="26"/>
      <c r="I37" s="26"/>
      <c r="J37" s="26"/>
      <c r="K37" s="26"/>
      <c r="L37" s="26"/>
      <c r="M37" s="26"/>
      <c r="N37" s="113"/>
      <c r="O37" s="8">
        <v>27</v>
      </c>
      <c r="P37" s="11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3"/>
      <c r="AC37" s="10">
        <f t="shared" si="0"/>
        <v>0</v>
      </c>
      <c r="AD37" s="34">
        <f t="shared" si="8"/>
        <v>0</v>
      </c>
      <c r="AE37" s="10">
        <f t="shared" si="1"/>
        <v>0</v>
      </c>
      <c r="AF37" s="72" t="e">
        <f t="shared" si="2"/>
        <v>#DIV/0!</v>
      </c>
      <c r="AG37" s="72" t="e">
        <f t="shared" si="3"/>
        <v>#DIV/0!</v>
      </c>
      <c r="AI37" s="70">
        <f>((C37*8.34*$C$7*($C$3/100))*($C$4/100))+(('Jan''16'!C37*8.34*$D$7*($D$3/100))*($D$4/100))+ ((E37*8.34*$E$7*($E$3/100))*($E$4/100))+((F37*8.34*$F$7*($F$3/100))*($F$4/100))+ ((G37*8.34*$G$7*($G$3/100))*($G$4/100))+((H37*8.34*$H$7*($H$3/100))*($H$4/100))+ ((I37*8.34*$I$7*($I$3/100))*($I$4/100))+((J37*8.34*$J$7*($J$3/100))*($J$4/100))+ ((K37*8.34*$K$7*($K$3/100))*($K$4/100))+((L37*8.34*$L$7*($L$3/100))*($L$4/100))+ ((M37*8.34*$M$7*($M$3/100))*($M$4/100))+((N37*8.34*$N$7*($N$3/100))*($N$4/100))+ ((P37*8.34*$P$7*($P$3/100))*($P$4/100))+((Q37*8.34*$Q$7*($Q$3/100))*($Q$4/100))+
((R37*8.34*$R$7*($R$3/100))*($R$4/100))+((S37*8.34*$S$7*($S$3/100))*($S$4/100))+
((V37*8.34*$V$7*($V$3/100))*($V$4/100))+(((W37*$W$2)*8.34*$W$7*($W$3/100))*($W$4/100))+
((X37*8.34*$X$7*($X$3/100))*($X$4/100))+((Y37*8.34*$Y$7*($Y$3/100))*($Y$4/100))</f>
        <v>1084.6170000000002</v>
      </c>
      <c r="AJ37" s="17">
        <f t="shared" si="4"/>
        <v>1.5741901306240931E-2</v>
      </c>
      <c r="AK37" s="17">
        <f t="shared" si="5"/>
        <v>3.4215047318611994E-3</v>
      </c>
      <c r="AM37" s="102">
        <f>((((C37*8.34*$C$7*($C$3/100))*($C$4/100))/($C$5+$C$6))*$C$5)
+(((('Jan''16'!C37*8.34*$D$7*($D$3/100))*($D$4/100))/($D$5+$D$6))*$D$5)
+((((E37*8.34*$E$7*($E$3/100))*($E$4/100))/($E$5+$E$6))*$E$5)
+((((F37*8.34*$F$7*($F$3/100))*($F$4/100))/($F$5+$F$6))*$F$5)
+((((G37*8.34*$G$7*($G$3/100))*($G$4/100))/($G$5+$G$6))*$G$5)
+((((H37*8.34*$H$7*($H$3/100))*($H$4/100))/($H$5+$H$6))*$H$5)
+((((I37*8.34*$I$7*($I$3/100))*($I$4/100))/($I$5+$I$6))*$I$5)
+((((J37*8.34*$J$7*($J$3/100))*($J$4/100))/($J$5+$J$6))*$J$5)
+((((K37*8.34*$K$7*($K$3/100))*($K$4/100))/($K$5+$K$6))*$K$5)
+((((L37*8.34*$L$7*($L$3/100))*($L$4/100))/($L$5+$L$6))*$L$5)
+((((M37*8.34*$M$7*($M$3/100))*($M$4/100))/($M$5+$M$6))*$M$5)
+((((N37*8.34*$N$7*($N$3/100))*($N$4/100))/($N$5+$N$6))*$N$5)
+((((P37*8.34*$P$7*($P$3/100))*($P$4/100))/($P$5+$P$6))*$P$5)
+((((Q37*8.34*$Q$7*($Q$3/100))*($Q$4/100))/($Q$5+$Q$6))*$Q$5)
+((((R37*8.34*$R$7*($R$3/100))*($R$4/100))/($R$5+$R$6))*$R$5)
+((((V37*8.34*$V$7*($V$3/100))*($V$4/100))/($V$5+$V$6))*$V$5)
+(((((W37*$W$2)*8.34*$W$7*($W$3/100))*($W$4/100))/($W$5+$W$6))*$W$5)
+((((X37*8.34*$X$7*($X$3/100))*($X$4/100))/($X$5+$X$6))*$X$5)
+((((Y37*8.34*$Y$7*($Y$3/100))*($Y$4/100))/($Y$5+$Y$6))*$Y$5)</f>
        <v>1030.3861500000003</v>
      </c>
      <c r="AN37" s="102">
        <f>((((C37*8.34*$C$7*($C$3/100))*($C$4/100))/($C$5+$C$6))*$C$6)
+(((('Jan''16'!C37*8.34*$D$7*($D$3/100))*($D$4/100))/($D$5+$D$6))*$D$6)
+((((E37*8.34*$E$7*($E$3/100))*($E$4/100))/($E$5+$E$6))*$E$6)
+((((F37*8.34*$F$7*($F$3/100))*($F$4/100))/($F$5+$F$6))*$F$6)
+((((G37*8.34*$G$7*($G$3/100))*($G$4/100))/($G$5+$G$6))*$G$6)
+((((H37*8.34*$H$7*($H$3/100))*($H$4/100))/($H$5+$H$6))*$H$6)
+((((I37*8.34*$I$7*($I$3/100))*($I$4/100))/($I$5+$I$6))*$I$6)
+((((J37*8.34*$J$7*($J$3/100))*($J$4/100))/($J$5+$J$6))*$J$6)
+((((K37*8.34*$K$7*($K$3/100))*($K$4/100))/($K$5+$K$6))*$K$6)
+((((L37*8.34*$L$7*($L$3/100))*($L$4/100))/($L$5+$L$6))*$L$6)
+((((M37*8.34*$M$7*($M$3/100))*($M$4/100))/($M$5+$M$6))*$M$6)
+((((N37*8.34*$N$7*($N$3/100))*($N$4/100))/($N$5+$N$6))*$N$6)
+((((P37*8.34*$P$7*($P$3/100))*($P$4/100))/($P$5+$P$6))*$P$6)
+((((Q37*8.34*$Q$7*($Q$3/100))*($Q$4/100))/($Q$5+$Q$6))*$Q$6)
+((((R37*8.34*$R$7*($R$3/100))*($R$4/100))/($R$5+$R$6))*$R$6)
+((((V37*8.34*$V$7*($V$3/100))*($V$4/100))/($V$5+$V$6))*$V$6)
+(((((W37*$W$2) *8.34*$W$7*($W$3/100))*($W$4/100))/($W$5+$W$6))*$W$6)
+((((X37*8.34*$X$7*($X$3/100))*($X$4/100))/($X$5+$X$6))*$X$6)
+((((Y37*8.34*$Y$7*($Y$3/100))*($Y$4/100))/($Y$5+$Y$6))*$Y$6)</f>
        <v>54.230850000000011</v>
      </c>
      <c r="AO37" s="46">
        <f t="shared" si="6"/>
        <v>19</v>
      </c>
      <c r="AP37" s="68">
        <v>1</v>
      </c>
      <c r="AR37" s="7">
        <f>(C37*($C$3/100)*($C$4/100)*$C$7*8.34*0.000453592*$C$8)+
('Jan''16'!C37*($D$3/100)*($D$4/100)*$D$7*8.34*0.000453592*$D$8)+
(E37*($E$3/100)*($E$4/100)*$E$7*8.34*0.000453592*$E$8)+
(F37*($F$3/100)*($F$4/100)*$F$7*8.34*0.000453592*$F$8)+
(G37*($G$3/100)*($G$4/100)*$G$7*8.34*0.000453592*$G$8)+
(H37*($H$3/100)*($H$4/100)*$H$7*8.34*0.000453592*$H$8)+
(I37*($I$3/100)*($I$4/100)*$I$7*8.34*0.000453592*$I$8)+
(J37*($J$3/100)*($J$4/100)*$J$7*8.34*0.000453592*$J$8)+
(K37*($K$3/100)*($K$4/100)*$K$7*8.34*0.000453592*$K$8)+
(L37*($L$3/100)*($L$4/100)*$L$7*8.34*0.000453592*$L$8)+
(M37*($M$3/100)*($M$4/100)*$M$7*8.34*0.000453592*$M$8)+
(N37*($N$3/100)*($N$4/100)*$N$7*8.34*0.000453592*$N$8)+
(P37*($P$3/100)*($P$4/100)*$P$7*8.34*0.000453592*$P$8)+
(Q37*($Q$3/100)*($Q$4/100)*$Q$7*8.34*0.000453592*$Q$8)+
(R37*($R$3/100)*($R$4/100)*$R$7*8.34*0.000453592*$R$8)+
(V37*($V$3/100)*($V$4/100)*$V$7*8.34*0.000453592*$V$8)+
(W37*$W$2*($W$3/100)*($BW$4/100)*$W$7*8.34*0.000453592*$W$8)+
(X37*($X$3/100)*($X$4/100)*$X$7*8.34*0.000453592*$X$8)+
(Y37*($Y$3/100)*($Y$4/100)*$Y$7*8.34*0.000453592*$Y$8)</f>
        <v>157.43155016448003</v>
      </c>
      <c r="AS37" s="7">
        <f t="shared" si="7"/>
        <v>366.50064878290954</v>
      </c>
    </row>
    <row r="38" spans="1:46">
      <c r="B38">
        <v>28</v>
      </c>
      <c r="C38" s="112"/>
      <c r="E38" s="26"/>
      <c r="F38" s="26"/>
      <c r="G38" s="26"/>
      <c r="H38" s="26"/>
      <c r="I38" s="26"/>
      <c r="J38" s="26"/>
      <c r="K38" s="26"/>
      <c r="L38" s="26"/>
      <c r="M38" s="26"/>
      <c r="N38" s="113"/>
      <c r="O38" s="8">
        <v>28</v>
      </c>
      <c r="P38" s="112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3"/>
      <c r="AC38" s="10">
        <f t="shared" si="0"/>
        <v>0</v>
      </c>
      <c r="AD38" s="34">
        <f t="shared" si="8"/>
        <v>0</v>
      </c>
      <c r="AE38" s="10">
        <f t="shared" si="1"/>
        <v>0</v>
      </c>
      <c r="AF38" s="72" t="e">
        <f t="shared" si="2"/>
        <v>#DIV/0!</v>
      </c>
      <c r="AG38" s="72" t="e">
        <f t="shared" si="3"/>
        <v>#DIV/0!</v>
      </c>
      <c r="AI38" s="70">
        <f>((C38*8.34*$C$7*($C$3/100))*($C$4/100))+(('Jan''16'!C38*8.34*$D$7*($D$3/100))*($D$4/100))+ ((E38*8.34*$E$7*($E$3/100))*($E$4/100))+((F38*8.34*$F$7*($F$3/100))*($F$4/100))+ ((G38*8.34*$G$7*($G$3/100))*($G$4/100))+((H38*8.34*$H$7*($H$3/100))*($H$4/100))+ ((I38*8.34*$I$7*($I$3/100))*($I$4/100))+((J38*8.34*$J$7*($J$3/100))*($J$4/100))+ ((K38*8.34*$K$7*($K$3/100))*($K$4/100))+((L38*8.34*$L$7*($L$3/100))*($L$4/100))+ ((M38*8.34*$M$7*($M$3/100))*($M$4/100))+((N38*8.34*$N$7*($N$3/100))*($N$4/100))+ ((P38*8.34*$P$7*($P$3/100))*($P$4/100))+((Q38*8.34*$Q$7*($Q$3/100))*($Q$4/100))+
((R38*8.34*$R$7*($R$3/100))*($R$4/100))+((S38*8.34*$S$7*($S$3/100))*($S$4/100))+
((V38*8.34*$V$7*($V$3/100))*($V$4/100))+(((W38*$W$2)*8.34*$W$7*($W$3/100))*($W$4/100))+
((X38*8.34*$X$7*($X$3/100))*($X$4/100))+((Y38*8.34*$Y$7*($Y$3/100))*($Y$4/100))</f>
        <v>1084.6170000000002</v>
      </c>
      <c r="AJ38" s="17">
        <f t="shared" si="4"/>
        <v>1.5741901306240931E-2</v>
      </c>
      <c r="AK38" s="17">
        <f t="shared" si="5"/>
        <v>3.4215047318611994E-3</v>
      </c>
      <c r="AM38" s="102">
        <f>((((C38*8.34*$C$7*($C$3/100))*($C$4/100))/($C$5+$C$6))*$C$5)
+(((('Jan''16'!C38*8.34*$D$7*($D$3/100))*($D$4/100))/($D$5+$D$6))*$D$5)
+((((E38*8.34*$E$7*($E$3/100))*($E$4/100))/($E$5+$E$6))*$E$5)
+((((F38*8.34*$F$7*($F$3/100))*($F$4/100))/($F$5+$F$6))*$F$5)
+((((G38*8.34*$G$7*($G$3/100))*($G$4/100))/($G$5+$G$6))*$G$5)
+((((H38*8.34*$H$7*($H$3/100))*($H$4/100))/($H$5+$H$6))*$H$5)
+((((I38*8.34*$I$7*($I$3/100))*($I$4/100))/($I$5+$I$6))*$I$5)
+((((J38*8.34*$J$7*($J$3/100))*($J$4/100))/($J$5+$J$6))*$J$5)
+((((K38*8.34*$K$7*($K$3/100))*($K$4/100))/($K$5+$K$6))*$K$5)
+((((L38*8.34*$L$7*($L$3/100))*($L$4/100))/($L$5+$L$6))*$L$5)
+((((M38*8.34*$M$7*($M$3/100))*($M$4/100))/($M$5+$M$6))*$M$5)
+((((N38*8.34*$N$7*($N$3/100))*($N$4/100))/($N$5+$N$6))*$N$5)
+((((P38*8.34*$P$7*($P$3/100))*($P$4/100))/($P$5+$P$6))*$P$5)
+((((Q38*8.34*$Q$7*($Q$3/100))*($Q$4/100))/($Q$5+$Q$6))*$Q$5)
+((((R38*8.34*$R$7*($R$3/100))*($R$4/100))/($R$5+$R$6))*$R$5)
+((((V38*8.34*$V$7*($V$3/100))*($V$4/100))/($V$5+$V$6))*$V$5)
+(((((W38*$W$2)*8.34*$W$7*($W$3/100))*($W$4/100))/($W$5+$W$6))*$W$5)
+((((X38*8.34*$X$7*($X$3/100))*($X$4/100))/($X$5+$X$6))*$X$5)
+((((Y38*8.34*$Y$7*($Y$3/100))*($Y$4/100))/($Y$5+$Y$6))*$Y$5)</f>
        <v>1030.3861500000003</v>
      </c>
      <c r="AN38" s="102">
        <f>((((C38*8.34*$C$7*($C$3/100))*($C$4/100))/($C$5+$C$6))*$C$6)
+(((('Jan''16'!C38*8.34*$D$7*($D$3/100))*($D$4/100))/($D$5+$D$6))*$D$6)
+((((E38*8.34*$E$7*($E$3/100))*($E$4/100))/($E$5+$E$6))*$E$6)
+((((F38*8.34*$F$7*($F$3/100))*($F$4/100))/($F$5+$F$6))*$F$6)
+((((G38*8.34*$G$7*($G$3/100))*($G$4/100))/($G$5+$G$6))*$G$6)
+((((H38*8.34*$H$7*($H$3/100))*($H$4/100))/($H$5+$H$6))*$H$6)
+((((I38*8.34*$I$7*($I$3/100))*($I$4/100))/($I$5+$I$6))*$I$6)
+((((J38*8.34*$J$7*($J$3/100))*($J$4/100))/($J$5+$J$6))*$J$6)
+((((K38*8.34*$K$7*($K$3/100))*($K$4/100))/($K$5+$K$6))*$K$6)
+((((L38*8.34*$L$7*($L$3/100))*($L$4/100))/($L$5+$L$6))*$L$6)
+((((M38*8.34*$M$7*($M$3/100))*($M$4/100))/($M$5+$M$6))*$M$6)
+((((N38*8.34*$N$7*($N$3/100))*($N$4/100))/($N$5+$N$6))*$N$6)
+((((P38*8.34*$P$7*($P$3/100))*($P$4/100))/($P$5+$P$6))*$P$6)
+((((Q38*8.34*$Q$7*($Q$3/100))*($Q$4/100))/($Q$5+$Q$6))*$Q$6)
+((((R38*8.34*$R$7*($R$3/100))*($R$4/100))/($R$5+$R$6))*$R$6)
+((((V38*8.34*$V$7*($V$3/100))*($V$4/100))/($V$5+$V$6))*$V$6)
+(((((W38*$W$2) *8.34*$W$7*($W$3/100))*($W$4/100))/($W$5+$W$6))*$W$6)
+((((X38*8.34*$X$7*($X$3/100))*($X$4/100))/($X$5+$X$6))*$X$6)
+((((Y38*8.34*$Y$7*($Y$3/100))*($Y$4/100))/($Y$5+$Y$6))*$Y$6)</f>
        <v>54.230850000000011</v>
      </c>
      <c r="AO38" s="46">
        <f t="shared" si="6"/>
        <v>19</v>
      </c>
      <c r="AP38" s="68">
        <v>1</v>
      </c>
      <c r="AR38" s="7">
        <f>(C38*($C$3/100)*($C$4/100)*$C$7*8.34*0.000453592*$C$8)+
('Jan''16'!C38*($D$3/100)*($D$4/100)*$D$7*8.34*0.000453592*$D$8)+
(E38*($E$3/100)*($E$4/100)*$E$7*8.34*0.000453592*$E$8)+
(F38*($F$3/100)*($F$4/100)*$F$7*8.34*0.000453592*$F$8)+
(G38*($G$3/100)*($G$4/100)*$G$7*8.34*0.000453592*$G$8)+
(H38*($H$3/100)*($H$4/100)*$H$7*8.34*0.000453592*$H$8)+
(I38*($I$3/100)*($I$4/100)*$I$7*8.34*0.000453592*$I$8)+
(J38*($J$3/100)*($J$4/100)*$J$7*8.34*0.000453592*$J$8)+
(K38*($K$3/100)*($K$4/100)*$K$7*8.34*0.000453592*$K$8)+
(L38*($L$3/100)*($L$4/100)*$L$7*8.34*0.000453592*$L$8)+
(M38*($M$3/100)*($M$4/100)*$M$7*8.34*0.000453592*$M$8)+
(N38*($N$3/100)*($N$4/100)*$N$7*8.34*0.000453592*$N$8)+
(P38*($P$3/100)*($P$4/100)*$P$7*8.34*0.000453592*$P$8)+
(Q38*($Q$3/100)*($Q$4/100)*$Q$7*8.34*0.000453592*$Q$8)+
(R38*($R$3/100)*($R$4/100)*$R$7*8.34*0.000453592*$R$8)+
(V38*($V$3/100)*($V$4/100)*$V$7*8.34*0.000453592*$V$8)+
(W38*$W$2*($W$3/100)*($BW$4/100)*$W$7*8.34*0.000453592*$W$8)+
(X38*($X$3/100)*($X$4/100)*$X$7*8.34*0.000453592*$X$8)+
(Y38*($Y$3/100)*($Y$4/100)*$Y$7*8.34*0.000453592*$Y$8)</f>
        <v>157.43155016448003</v>
      </c>
      <c r="AS38" s="7">
        <f t="shared" si="7"/>
        <v>366.50064878290954</v>
      </c>
    </row>
    <row r="39" spans="1:46">
      <c r="B39">
        <v>29</v>
      </c>
      <c r="C39" s="112"/>
      <c r="E39" s="26"/>
      <c r="F39" s="26"/>
      <c r="G39" s="26"/>
      <c r="H39" s="26"/>
      <c r="I39" s="26"/>
      <c r="J39" s="26"/>
      <c r="K39" s="26"/>
      <c r="L39" s="26"/>
      <c r="M39" s="26"/>
      <c r="N39" s="113"/>
      <c r="O39" s="8">
        <v>29</v>
      </c>
      <c r="P39" s="112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3"/>
      <c r="AC39" s="10">
        <f t="shared" si="0"/>
        <v>0</v>
      </c>
      <c r="AD39" s="34">
        <f t="shared" si="8"/>
        <v>0</v>
      </c>
      <c r="AE39" s="10">
        <f t="shared" si="1"/>
        <v>0</v>
      </c>
      <c r="AF39" s="72" t="e">
        <f t="shared" si="2"/>
        <v>#DIV/0!</v>
      </c>
      <c r="AG39" s="72" t="e">
        <f t="shared" si="3"/>
        <v>#DIV/0!</v>
      </c>
      <c r="AI39" s="70">
        <f>((C39*8.34*$C$7*($C$3/100))*($C$4/100))+(('Jan''16'!C39*8.34*$D$7*($D$3/100))*($D$4/100))+ ((E39*8.34*$E$7*($E$3/100))*($E$4/100))+((F39*8.34*$F$7*($F$3/100))*($F$4/100))+ ((G39*8.34*$G$7*($G$3/100))*($G$4/100))+((H39*8.34*$H$7*($H$3/100))*($H$4/100))+ ((I39*8.34*$I$7*($I$3/100))*($I$4/100))+((J39*8.34*$J$7*($J$3/100))*($J$4/100))+ ((K39*8.34*$K$7*($K$3/100))*($K$4/100))+((L39*8.34*$L$7*($L$3/100))*($L$4/100))+ ((M39*8.34*$M$7*($M$3/100))*($M$4/100))+((N39*8.34*$N$7*($N$3/100))*($N$4/100))+ ((P39*8.34*$P$7*($P$3/100))*($P$4/100))+((Q39*8.34*$Q$7*($Q$3/100))*($Q$4/100))+
((R39*8.34*$R$7*($R$3/100))*($R$4/100))+((S39*8.34*$S$7*($S$3/100))*($S$4/100))+
((V39*8.34*$V$7*($V$3/100))*($V$4/100))+(((W39*$W$2)*8.34*$W$7*($W$3/100))*($W$4/100))+
((X39*8.34*$X$7*($X$3/100))*($X$4/100))+((Y39*8.34*$Y$7*($Y$3/100))*($Y$4/100))</f>
        <v>1084.6170000000002</v>
      </c>
      <c r="AJ39" s="17">
        <f t="shared" si="4"/>
        <v>1.5741901306240931E-2</v>
      </c>
      <c r="AK39" s="17">
        <f t="shared" si="5"/>
        <v>3.4215047318611994E-3</v>
      </c>
      <c r="AM39" s="102">
        <f>((((C39*8.34*$C$7*($C$3/100))*($C$4/100))/($C$5+$C$6))*$C$5)
+(((('Jan''16'!C39*8.34*$D$7*($D$3/100))*($D$4/100))/($D$5+$D$6))*$D$5)
+((((E39*8.34*$E$7*($E$3/100))*($E$4/100))/($E$5+$E$6))*$E$5)
+((((F39*8.34*$F$7*($F$3/100))*($F$4/100))/($F$5+$F$6))*$F$5)
+((((G39*8.34*$G$7*($G$3/100))*($G$4/100))/($G$5+$G$6))*$G$5)
+((((H39*8.34*$H$7*($H$3/100))*($H$4/100))/($H$5+$H$6))*$H$5)
+((((I39*8.34*$I$7*($I$3/100))*($I$4/100))/($I$5+$I$6))*$I$5)
+((((J39*8.34*$J$7*($J$3/100))*($J$4/100))/($J$5+$J$6))*$J$5)
+((((K39*8.34*$K$7*($K$3/100))*($K$4/100))/($K$5+$K$6))*$K$5)
+((((L39*8.34*$L$7*($L$3/100))*($L$4/100))/($L$5+$L$6))*$L$5)
+((((M39*8.34*$M$7*($M$3/100))*($M$4/100))/($M$5+$M$6))*$M$5)
+((((N39*8.34*$N$7*($N$3/100))*($N$4/100))/($N$5+$N$6))*$N$5)
+((((P39*8.34*$P$7*($P$3/100))*($P$4/100))/($P$5+$P$6))*$P$5)
+((((Q39*8.34*$Q$7*($Q$3/100))*($Q$4/100))/($Q$5+$Q$6))*$Q$5)
+((((R39*8.34*$R$7*($R$3/100))*($R$4/100))/($R$5+$R$6))*$R$5)
+((((V39*8.34*$V$7*($V$3/100))*($V$4/100))/($V$5+$V$6))*$V$5)
+(((((W39*$W$2)*8.34*$W$7*($W$3/100))*($W$4/100))/($W$5+$W$6))*$W$5)
+((((X39*8.34*$X$7*($X$3/100))*($X$4/100))/($X$5+$X$6))*$X$5)
+((((Y39*8.34*$Y$7*($Y$3/100))*($Y$4/100))/($Y$5+$Y$6))*$Y$5)</f>
        <v>1030.3861500000003</v>
      </c>
      <c r="AN39" s="102">
        <f>((((C39*8.34*$C$7*($C$3/100))*($C$4/100))/($C$5+$C$6))*$C$6)
+(((('Jan''16'!C39*8.34*$D$7*($D$3/100))*($D$4/100))/($D$5+$D$6))*$D$6)
+((((E39*8.34*$E$7*($E$3/100))*($E$4/100))/($E$5+$E$6))*$E$6)
+((((F39*8.34*$F$7*($F$3/100))*($F$4/100))/($F$5+$F$6))*$F$6)
+((((G39*8.34*$G$7*($G$3/100))*($G$4/100))/($G$5+$G$6))*$G$6)
+((((H39*8.34*$H$7*($H$3/100))*($H$4/100))/($H$5+$H$6))*$H$6)
+((((I39*8.34*$I$7*($I$3/100))*($I$4/100))/($I$5+$I$6))*$I$6)
+((((J39*8.34*$J$7*($J$3/100))*($J$4/100))/($J$5+$J$6))*$J$6)
+((((K39*8.34*$K$7*($K$3/100))*($K$4/100))/($K$5+$K$6))*$K$6)
+((((L39*8.34*$L$7*($L$3/100))*($L$4/100))/($L$5+$L$6))*$L$6)
+((((M39*8.34*$M$7*($M$3/100))*($M$4/100))/($M$5+$M$6))*$M$6)
+((((N39*8.34*$N$7*($N$3/100))*($N$4/100))/($N$5+$N$6))*$N$6)
+((((P39*8.34*$P$7*($P$3/100))*($P$4/100))/($P$5+$P$6))*$P$6)
+((((Q39*8.34*$Q$7*($Q$3/100))*($Q$4/100))/($Q$5+$Q$6))*$Q$6)
+((((R39*8.34*$R$7*($R$3/100))*($R$4/100))/($R$5+$R$6))*$R$6)
+((((V39*8.34*$V$7*($V$3/100))*($V$4/100))/($V$5+$V$6))*$V$6)
+(((((W39*$W$2) *8.34*$W$7*($W$3/100))*($W$4/100))/($W$5+$W$6))*$W$6)
+((((X39*8.34*$X$7*($X$3/100))*($X$4/100))/($X$5+$X$6))*$X$6)
+((((Y39*8.34*$Y$7*($Y$3/100))*($Y$4/100))/($Y$5+$Y$6))*$Y$6)</f>
        <v>54.230850000000011</v>
      </c>
      <c r="AO39" s="46">
        <f t="shared" si="6"/>
        <v>19</v>
      </c>
      <c r="AP39" s="68">
        <v>1</v>
      </c>
      <c r="AR39" s="7">
        <f>(C39*($C$3/100)*($C$4/100)*$C$7*8.34*0.000453592*$C$8)+
('Jan''16'!C39*($D$3/100)*($D$4/100)*$D$7*8.34*0.000453592*$D$8)+
(E39*($E$3/100)*($E$4/100)*$E$7*8.34*0.000453592*$E$8)+
(F39*($F$3/100)*($F$4/100)*$F$7*8.34*0.000453592*$F$8)+
(G39*($G$3/100)*($G$4/100)*$G$7*8.34*0.000453592*$G$8)+
(H39*($H$3/100)*($H$4/100)*$H$7*8.34*0.000453592*$H$8)+
(I39*($I$3/100)*($I$4/100)*$I$7*8.34*0.000453592*$I$8)+
(J39*($J$3/100)*($J$4/100)*$J$7*8.34*0.000453592*$J$8)+
(K39*($K$3/100)*($K$4/100)*$K$7*8.34*0.000453592*$K$8)+
(L39*($L$3/100)*($L$4/100)*$L$7*8.34*0.000453592*$L$8)+
(M39*($M$3/100)*($M$4/100)*$M$7*8.34*0.000453592*$M$8)+
(N39*($N$3/100)*($N$4/100)*$N$7*8.34*0.000453592*$N$8)+
(P39*($P$3/100)*($P$4/100)*$P$7*8.34*0.000453592*$P$8)+
(Q39*($Q$3/100)*($Q$4/100)*$Q$7*8.34*0.000453592*$Q$8)+
(R39*($R$3/100)*($R$4/100)*$R$7*8.34*0.000453592*$R$8)+
(V39*($V$3/100)*($V$4/100)*$V$7*8.34*0.000453592*$V$8)+
(W39*$W$2*($W$3/100)*($BW$4/100)*$W$7*8.34*0.000453592*$W$8)+
(X39*($X$3/100)*($X$4/100)*$X$7*8.34*0.000453592*$X$8)+
(Y39*($Y$3/100)*($Y$4/100)*$Y$7*8.34*0.000453592*$Y$8)</f>
        <v>157.43155016448003</v>
      </c>
      <c r="AS39" s="7">
        <f t="shared" si="7"/>
        <v>366.50064878290954</v>
      </c>
    </row>
    <row r="40" spans="1:46">
      <c r="B40">
        <v>30</v>
      </c>
      <c r="C40" s="112"/>
      <c r="E40" s="26"/>
      <c r="F40" s="26"/>
      <c r="G40" s="26"/>
      <c r="H40" s="26"/>
      <c r="I40" s="26"/>
      <c r="J40" s="26"/>
      <c r="K40" s="26"/>
      <c r="L40" s="26"/>
      <c r="M40" s="26"/>
      <c r="N40" s="113"/>
      <c r="O40" s="8">
        <v>30</v>
      </c>
      <c r="P40" s="112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3"/>
      <c r="AC40" s="10">
        <f t="shared" si="0"/>
        <v>0</v>
      </c>
      <c r="AD40" s="34">
        <f t="shared" si="8"/>
        <v>0</v>
      </c>
      <c r="AE40" s="10">
        <f t="shared" si="1"/>
        <v>0</v>
      </c>
      <c r="AF40" s="72" t="e">
        <f t="shared" si="2"/>
        <v>#DIV/0!</v>
      </c>
      <c r="AG40" s="72" t="e">
        <f t="shared" si="3"/>
        <v>#DIV/0!</v>
      </c>
      <c r="AI40" s="70">
        <f>((C40*8.34*$C$7*($C$3/100))*($C$4/100))+(('Jan''16'!C40*8.34*$D$7*($D$3/100))*($D$4/100))+ ((E40*8.34*$E$7*($E$3/100))*($E$4/100))+((F40*8.34*$F$7*($F$3/100))*($F$4/100))+ ((G40*8.34*$G$7*($G$3/100))*($G$4/100))+((H40*8.34*$H$7*($H$3/100))*($H$4/100))+ ((I40*8.34*$I$7*($I$3/100))*($I$4/100))+((J40*8.34*$J$7*($J$3/100))*($J$4/100))+ ((K40*8.34*$K$7*($K$3/100))*($K$4/100))+((L40*8.34*$L$7*($L$3/100))*($L$4/100))+ ((M40*8.34*$M$7*($M$3/100))*($M$4/100))+((N40*8.34*$N$7*($N$3/100))*($N$4/100))+ ((P40*8.34*$P$7*($P$3/100))*($P$4/100))+((Q40*8.34*$Q$7*($Q$3/100))*($Q$4/100))+
((R40*8.34*$R$7*($R$3/100))*($R$4/100))+((S40*8.34*$S$7*($S$3/100))*($S$4/100))+
((V40*8.34*$V$7*($V$3/100))*($V$4/100))+(((W40*$W$2)*8.34*$W$7*($W$3/100))*($W$4/100))+
((X40*8.34*$X$7*($X$3/100))*($X$4/100))+((Y40*8.34*$Y$7*($Y$3/100))*($Y$4/100))</f>
        <v>1084.6170000000002</v>
      </c>
      <c r="AJ40" s="17">
        <f t="shared" si="4"/>
        <v>1.5741901306240931E-2</v>
      </c>
      <c r="AK40" s="17">
        <f t="shared" si="5"/>
        <v>3.4215047318611994E-3</v>
      </c>
      <c r="AM40" s="102">
        <f>((((C40*8.34*$C$7*($C$3/100))*($C$4/100))/($C$5+$C$6))*$C$5)
+(((('Jan''16'!C40*8.34*$D$7*($D$3/100))*($D$4/100))/($D$5+$D$6))*$D$5)
+((((E40*8.34*$E$7*($E$3/100))*($E$4/100))/($E$5+$E$6))*$E$5)
+((((F40*8.34*$F$7*($F$3/100))*($F$4/100))/($F$5+$F$6))*$F$5)
+((((G40*8.34*$G$7*($G$3/100))*($G$4/100))/($G$5+$G$6))*$G$5)
+((((H40*8.34*$H$7*($H$3/100))*($H$4/100))/($H$5+$H$6))*$H$5)
+((((I40*8.34*$I$7*($I$3/100))*($I$4/100))/($I$5+$I$6))*$I$5)
+((((J40*8.34*$J$7*($J$3/100))*($J$4/100))/($J$5+$J$6))*$J$5)
+((((K40*8.34*$K$7*($K$3/100))*($K$4/100))/($K$5+$K$6))*$K$5)
+((((L40*8.34*$L$7*($L$3/100))*($L$4/100))/($L$5+$L$6))*$L$5)
+((((M40*8.34*$M$7*($M$3/100))*($M$4/100))/($M$5+$M$6))*$M$5)
+((((N40*8.34*$N$7*($N$3/100))*($N$4/100))/($N$5+$N$6))*$N$5)
+((((P40*8.34*$P$7*($P$3/100))*($P$4/100))/($P$5+$P$6))*$P$5)
+((((Q40*8.34*$Q$7*($Q$3/100))*($Q$4/100))/($Q$5+$Q$6))*$Q$5)
+((((R40*8.34*$R$7*($R$3/100))*($R$4/100))/($R$5+$R$6))*$R$5)
+((((V40*8.34*$V$7*($V$3/100))*($V$4/100))/($V$5+$V$6))*$V$5)
+(((((W40*$W$2)*8.34*$W$7*($W$3/100))*($W$4/100))/($W$5+$W$6))*$W$5)
+((((X40*8.34*$X$7*($X$3/100))*($X$4/100))/($X$5+$X$6))*$X$5)
+((((Y40*8.34*$Y$7*($Y$3/100))*($Y$4/100))/($Y$5+$Y$6))*$Y$5)</f>
        <v>1030.3861500000003</v>
      </c>
      <c r="AN40" s="102">
        <f>((((C40*8.34*$C$7*($C$3/100))*($C$4/100))/($C$5+$C$6))*$C$6)
+(((('Jan''16'!C40*8.34*$D$7*($D$3/100))*($D$4/100))/($D$5+$D$6))*$D$6)
+((((E40*8.34*$E$7*($E$3/100))*($E$4/100))/($E$5+$E$6))*$E$6)
+((((F40*8.34*$F$7*($F$3/100))*($F$4/100))/($F$5+$F$6))*$F$6)
+((((G40*8.34*$G$7*($G$3/100))*($G$4/100))/($G$5+$G$6))*$G$6)
+((((H40*8.34*$H$7*($H$3/100))*($H$4/100))/($H$5+$H$6))*$H$6)
+((((I40*8.34*$I$7*($I$3/100))*($I$4/100))/($I$5+$I$6))*$I$6)
+((((J40*8.34*$J$7*($J$3/100))*($J$4/100))/($J$5+$J$6))*$J$6)
+((((K40*8.34*$K$7*($K$3/100))*($K$4/100))/($K$5+$K$6))*$K$6)
+((((L40*8.34*$L$7*($L$3/100))*($L$4/100))/($L$5+$L$6))*$L$6)
+((((M40*8.34*$M$7*($M$3/100))*($M$4/100))/($M$5+$M$6))*$M$6)
+((((N40*8.34*$N$7*($N$3/100))*($N$4/100))/($N$5+$N$6))*$N$6)
+((((P40*8.34*$P$7*($P$3/100))*($P$4/100))/($P$5+$P$6))*$P$6)
+((((Q40*8.34*$Q$7*($Q$3/100))*($Q$4/100))/($Q$5+$Q$6))*$Q$6)
+((((R40*8.34*$R$7*($R$3/100))*($R$4/100))/($R$5+$R$6))*$R$6)
+((((V40*8.34*$V$7*($V$3/100))*($V$4/100))/($V$5+$V$6))*$V$6)
+(((((W40*$W$2) *8.34*$W$7*($W$3/100))*($W$4/100))/($W$5+$W$6))*$W$6)
+((((X40*8.34*$X$7*($X$3/100))*($X$4/100))/($X$5+$X$6))*$X$6)
+((((Y40*8.34*$Y$7*($Y$3/100))*($Y$4/100))/($Y$5+$Y$6))*$Y$6)</f>
        <v>54.230850000000011</v>
      </c>
      <c r="AO40" s="46">
        <f t="shared" si="6"/>
        <v>19</v>
      </c>
      <c r="AP40" s="68">
        <v>1</v>
      </c>
      <c r="AR40" s="7">
        <f>(C40*($C$3/100)*($C$4/100)*$C$7*8.34*0.000453592*$C$8)+
('Jan''16'!C40*($D$3/100)*($D$4/100)*$D$7*8.34*0.000453592*$D$8)+
(E40*($E$3/100)*($E$4/100)*$E$7*8.34*0.000453592*$E$8)+
(F40*($F$3/100)*($F$4/100)*$F$7*8.34*0.000453592*$F$8)+
(G40*($G$3/100)*($G$4/100)*$G$7*8.34*0.000453592*$G$8)+
(H40*($H$3/100)*($H$4/100)*$H$7*8.34*0.000453592*$H$8)+
(I40*($I$3/100)*($I$4/100)*$I$7*8.34*0.000453592*$I$8)+
(J40*($J$3/100)*($J$4/100)*$J$7*8.34*0.000453592*$J$8)+
(K40*($K$3/100)*($K$4/100)*$K$7*8.34*0.000453592*$K$8)+
(L40*($L$3/100)*($L$4/100)*$L$7*8.34*0.000453592*$L$8)+
(M40*($M$3/100)*($M$4/100)*$M$7*8.34*0.000453592*$M$8)+
(N40*($N$3/100)*($N$4/100)*$N$7*8.34*0.000453592*$N$8)+
(P40*($P$3/100)*($P$4/100)*$P$7*8.34*0.000453592*$P$8)+
(Q40*($Q$3/100)*($Q$4/100)*$Q$7*8.34*0.000453592*$Q$8)+
(R40*($R$3/100)*($R$4/100)*$R$7*8.34*0.000453592*$R$8)+
(V40*($V$3/100)*($V$4/100)*$V$7*8.34*0.000453592*$V$8)+
(W40*$W$2*($W$3/100)*($BW$4/100)*$W$7*8.34*0.000453592*$W$8)+
(X40*($X$3/100)*($X$4/100)*$X$7*8.34*0.000453592*$X$8)+
(Y40*($Y$3/100)*($Y$4/100)*$Y$7*8.34*0.000453592*$Y$8)</f>
        <v>157.43155016448003</v>
      </c>
      <c r="AS40" s="7">
        <f t="shared" si="7"/>
        <v>366.50064878290954</v>
      </c>
    </row>
    <row r="41" spans="1:46" s="35" customFormat="1">
      <c r="B41" s="35">
        <v>31</v>
      </c>
      <c r="C41" s="114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98">
        <v>31</v>
      </c>
      <c r="P41" s="114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6"/>
      <c r="AC41" s="34">
        <f t="shared" si="0"/>
        <v>0</v>
      </c>
      <c r="AD41" s="34">
        <f t="shared" si="8"/>
        <v>0</v>
      </c>
      <c r="AE41" s="34">
        <f t="shared" si="1"/>
        <v>0</v>
      </c>
      <c r="AF41" s="73" t="e">
        <f t="shared" si="2"/>
        <v>#DIV/0!</v>
      </c>
      <c r="AG41" s="73" t="e">
        <f t="shared" si="3"/>
        <v>#DIV/0!</v>
      </c>
      <c r="AI41" s="71">
        <f>((C41*8.34*$C$7*($C$3/100))*($C$4/100))+(('Jan''16'!C41*8.34*$D$7*($D$3/100))*($D$4/100))+ ((E41*8.34*$E$7*($E$3/100))*($E$4/100))+((F41*8.34*$F$7*($F$3/100))*($F$4/100))+ ((G41*8.34*$G$7*($G$3/100))*($G$4/100))+((H41*8.34*$H$7*($H$3/100))*($H$4/100))+ ((I41*8.34*$I$7*($I$3/100))*($I$4/100))+((J41*8.34*$J$7*($J$3/100))*($J$4/100))+ ((K41*8.34*$K$7*($K$3/100))*($K$4/100))+((L41*8.34*$L$7*($L$3/100))*($L$4/100))+ ((M41*8.34*$M$7*($M$3/100))*($M$4/100))+((N41*8.34*$N$7*($N$3/100))*($N$4/100))+ ((P41*8.34*$P$7*($P$3/100))*($P$4/100))+((Q41*8.34*$Q$7*($Q$3/100))*($Q$4/100))+
((R41*8.34*$R$7*($R$3/100))*($R$4/100))+((S41*8.34*$S$7*($S$3/100))*($S$4/100))+
((V41*8.34*$V$7*($V$3/100))*($V$4/100))+(((W41*$W$2)*8.34*$W$7*($W$3/100))*($W$4/100))+
((X41*8.34*$X$7*($X$3/100))*($X$4/100))+((Y41*8.34*$Y$7*($Y$3/100))*($Y$4/100))</f>
        <v>1355.7712500000002</v>
      </c>
      <c r="AJ41" s="54">
        <f t="shared" si="4"/>
        <v>1.9677376632801166E-2</v>
      </c>
      <c r="AK41" s="54">
        <f t="shared" si="5"/>
        <v>4.2768809148264995E-3</v>
      </c>
      <c r="AM41" s="103">
        <f>((((C41*8.34*$C$7*($C$3/100))*($C$4/100))/($C$5+$C$6))*$C$5)
+(((('Jan''16'!C41*8.34*$D$7*($D$3/100))*($D$4/100))/($D$5+$D$6))*$D$5)
+((((E41*8.34*$E$7*($E$3/100))*($E$4/100))/($E$5+$E$6))*$E$5)
+((((F41*8.34*$F$7*($F$3/100))*($F$4/100))/($F$5+$F$6))*$F$5)
+((((G41*8.34*$G$7*($G$3/100))*($G$4/100))/($G$5+$G$6))*$G$5)
+((((H41*8.34*$H$7*($H$3/100))*($H$4/100))/($H$5+$H$6))*$H$5)
+((((I41*8.34*$I$7*($I$3/100))*($I$4/100))/($I$5+$I$6))*$I$5)
+((((J41*8.34*$J$7*($J$3/100))*($J$4/100))/($J$5+$J$6))*$J$5)
+((((K41*8.34*$K$7*($K$3/100))*($K$4/100))/($K$5+$K$6))*$K$5)
+((((L41*8.34*$L$7*($L$3/100))*($L$4/100))/($L$5+$L$6))*$L$5)
+((((M41*8.34*$M$7*($M$3/100))*($M$4/100))/($M$5+$M$6))*$M$5)
+((((N41*8.34*$N$7*($N$3/100))*($N$4/100))/($N$5+$N$6))*$N$5)
+((((P41*8.34*$P$7*($P$3/100))*($P$4/100))/($P$5+$P$6))*$P$5)
+((((Q41*8.34*$Q$7*($Q$3/100))*($Q$4/100))/($Q$5+$Q$6))*$Q$5)
+((((R41*8.34*$R$7*($R$3/100))*($R$4/100))/($R$5+$R$6))*$R$5)
+((((V41*8.34*$V$7*($V$3/100))*($V$4/100))/($V$5+$V$6))*$V$5)
+(((((W41*$W$2)*8.34*$W$7*($W$3/100))*($W$4/100))/($W$5+$W$6))*$W$5)
+((((X41*8.34*$X$7*($X$3/100))*($X$4/100))/($X$5+$X$6))*$X$5)
+((((Y41*8.34*$Y$7*($Y$3/100))*($Y$4/100))/($Y$5+$Y$6))*$Y$5)</f>
        <v>1287.9826875000003</v>
      </c>
      <c r="AN41" s="103">
        <f>((((C41*8.34*$C$7*($C$3/100))*($C$4/100))/($C$5+$C$6))*$C$6)
+(((('Jan''16'!C41*8.34*$D$7*($D$3/100))*($D$4/100))/($D$5+$D$6))*$D$6)
+((((E41*8.34*$E$7*($E$3/100))*($E$4/100))/($E$5+$E$6))*$E$6)
+((((F41*8.34*$F$7*($F$3/100))*($F$4/100))/($F$5+$F$6))*$F$6)
+((((G41*8.34*$G$7*($G$3/100))*($G$4/100))/($G$5+$G$6))*$G$6)
+((((H41*8.34*$H$7*($H$3/100))*($H$4/100))/($H$5+$H$6))*$H$6)
+((((I41*8.34*$I$7*($I$3/100))*($I$4/100))/($I$5+$I$6))*$I$6)
+((((J41*8.34*$J$7*($J$3/100))*($J$4/100))/($J$5+$J$6))*$J$6)
+((((K41*8.34*$K$7*($K$3/100))*($K$4/100))/($K$5+$K$6))*$K$6)
+((((L41*8.34*$L$7*($L$3/100))*($L$4/100))/($L$5+$L$6))*$L$6)
+((((M41*8.34*$M$7*($M$3/100))*($M$4/100))/($M$5+$M$6))*$M$6)
+((((N41*8.34*$N$7*($N$3/100))*($N$4/100))/($N$5+$N$6))*$N$6)
+((((P41*8.34*$P$7*($P$3/100))*($P$4/100))/($P$5+$P$6))*$P$6)
+((((Q41*8.34*$Q$7*($Q$3/100))*($Q$4/100))/($Q$5+$Q$6))*$Q$6)
+((((R41*8.34*$R$7*($R$3/100))*($R$4/100))/($R$5+$R$6))*$R$6)
+((((V41*8.34*$V$7*($V$3/100))*($V$4/100))/($V$5+$V$6))*$V$6)
+(((((W41*$W$2) *8.34*$W$7*($W$3/100))*($W$4/100))/($W$5+$W$6))*$W$6)
+((((X41*8.34*$X$7*($X$3/100))*($X$4/100))/($X$5+$X$6))*$X$6)
+((((Y41*8.34*$Y$7*($Y$3/100))*($Y$4/100))/($Y$5+$Y$6))*$Y$6)</f>
        <v>67.788562500000012</v>
      </c>
      <c r="AO41" s="46">
        <f t="shared" si="6"/>
        <v>19</v>
      </c>
      <c r="AP41" s="69">
        <v>1</v>
      </c>
      <c r="AR41" s="36">
        <f>(C41*($C$3/100)*($C$4/100)*$C$7*8.34*0.000453592*$C$8)+
('Jan''16'!C41*($D$3/100)*($D$4/100)*$D$7*8.34*0.000453592*$D$8)+
(E41*($E$3/100)*($E$4/100)*$E$7*8.34*0.000453592*$E$8)+
(F41*($F$3/100)*($F$4/100)*$F$7*8.34*0.000453592*$F$8)+
(G41*($G$3/100)*($G$4/100)*$G$7*8.34*0.000453592*$G$8)+
(H41*($H$3/100)*($H$4/100)*$H$7*8.34*0.000453592*$H$8)+
(I41*($I$3/100)*($I$4/100)*$I$7*8.34*0.000453592*$I$8)+
(J41*($J$3/100)*($J$4/100)*$J$7*8.34*0.000453592*$J$8)+
(K41*($K$3/100)*($K$4/100)*$K$7*8.34*0.000453592*$K$8)+
(L41*($L$3/100)*($L$4/100)*$L$7*8.34*0.000453592*$L$8)+
(M41*($M$3/100)*($M$4/100)*$M$7*8.34*0.000453592*$M$8)+
(N41*($N$3/100)*($N$4/100)*$N$7*8.34*0.000453592*$N$8)+
(P41*($P$3/100)*($P$4/100)*$P$7*8.34*0.000453592*$P$8)+
(Q41*($Q$3/100)*($Q$4/100)*$Q$7*8.34*0.000453592*$Q$8)+
(R41*($R$3/100)*($R$4/100)*$R$7*8.34*0.000453592*$R$8)+
(V41*($V$3/100)*($V$4/100)*$V$7*8.34*0.000453592*$V$8)+
(W41*$W$2*($W$3/100)*($BW$4/100)*$W$7*8.34*0.000453592*$W$8)+
(X41*($X$3/100)*($X$4/100)*$X$7*8.34*0.000453592*$X$8)+
(Y41*($Y$3/100)*($Y$4/100)*$Y$7*8.34*0.000453592*$Y$8)</f>
        <v>196.78943770560005</v>
      </c>
      <c r="AS41" s="36">
        <f t="shared" si="7"/>
        <v>458.12581097863688</v>
      </c>
    </row>
    <row r="42" spans="1:46">
      <c r="B42" s="35"/>
      <c r="C42" s="30"/>
      <c r="D42" s="30"/>
      <c r="E42" s="76"/>
      <c r="F42" s="52"/>
      <c r="G42" s="52"/>
      <c r="H42" s="59"/>
      <c r="I42" s="59"/>
      <c r="J42" s="59"/>
      <c r="K42" s="76"/>
      <c r="L42" s="59"/>
      <c r="M42" s="59"/>
      <c r="N42" s="59"/>
      <c r="O42" s="98"/>
      <c r="P42" s="30"/>
      <c r="Q42" s="30"/>
      <c r="R42" s="59"/>
      <c r="S42" s="30"/>
      <c r="T42" s="59"/>
      <c r="U42" s="76"/>
      <c r="V42" s="30"/>
      <c r="W42" s="30"/>
      <c r="X42" s="76"/>
      <c r="Y42" s="76"/>
      <c r="Z42" s="76"/>
      <c r="AA42" s="30"/>
      <c r="AI42" s="15"/>
      <c r="AJ42" s="17"/>
      <c r="AK42" s="17"/>
      <c r="AM42" s="104"/>
      <c r="AN42" s="104"/>
      <c r="AO42" s="46"/>
    </row>
    <row r="43" spans="1:46">
      <c r="B43" s="35"/>
      <c r="C43" s="30"/>
      <c r="D43" s="30"/>
      <c r="E43" s="76"/>
      <c r="F43" s="52"/>
      <c r="G43" s="52"/>
      <c r="H43" s="59"/>
      <c r="I43" s="59"/>
      <c r="J43" s="59"/>
      <c r="K43" s="76"/>
      <c r="L43" s="59"/>
      <c r="M43" s="59"/>
      <c r="N43" s="59"/>
      <c r="O43" s="98"/>
      <c r="P43" s="30"/>
      <c r="Q43" s="30"/>
      <c r="R43" s="59"/>
      <c r="S43" s="30"/>
      <c r="T43" s="59"/>
      <c r="U43" s="76"/>
      <c r="V43" s="30"/>
      <c r="W43" s="30"/>
      <c r="X43" s="76"/>
      <c r="Y43" s="76"/>
      <c r="Z43" s="76"/>
      <c r="AA43" s="30"/>
      <c r="AB43" s="60" t="s">
        <v>21</v>
      </c>
      <c r="AC43" s="10">
        <f>SUM(AC11:AC41)</f>
        <v>258000</v>
      </c>
      <c r="AD43" s="10">
        <f t="shared" ref="AD43:AE43" si="9">SUM(AD11:AD41)</f>
        <v>99909</v>
      </c>
      <c r="AE43" s="10">
        <f t="shared" si="9"/>
        <v>357909</v>
      </c>
      <c r="AI43" s="15"/>
      <c r="AJ43" s="17"/>
      <c r="AK43" s="17"/>
      <c r="AL43" s="4" t="s">
        <v>70</v>
      </c>
      <c r="AM43" s="102">
        <f>AVERAGE(AM11:AM41)</f>
        <v>8382.4788264064337</v>
      </c>
      <c r="AN43" s="102">
        <f>AVERAGE(AN11:AN41)</f>
        <v>486.68832214195487</v>
      </c>
      <c r="AO43" s="46">
        <f>AVERAGE(AO11:AO41)</f>
        <v>17.863316901095899</v>
      </c>
    </row>
    <row r="44" spans="1:46">
      <c r="C44" s="7"/>
      <c r="D44" s="7"/>
    </row>
    <row r="45" spans="1:46">
      <c r="B45" s="16" t="s">
        <v>21</v>
      </c>
      <c r="C45" s="64">
        <f>SUM(C11:C41)</f>
        <v>87200</v>
      </c>
      <c r="D45" s="64">
        <f>SUM('Jan''16'!C11:C41)</f>
        <v>62500</v>
      </c>
      <c r="E45" s="64">
        <f t="shared" ref="E45:N45" si="10">SUM(E11:E41)</f>
        <v>6450</v>
      </c>
      <c r="F45" s="64">
        <f t="shared" si="10"/>
        <v>6350</v>
      </c>
      <c r="G45" s="64">
        <f t="shared" si="10"/>
        <v>0</v>
      </c>
      <c r="H45" s="64">
        <f t="shared" si="10"/>
        <v>0</v>
      </c>
      <c r="I45" s="64">
        <f t="shared" si="10"/>
        <v>0</v>
      </c>
      <c r="J45" s="64">
        <f t="shared" si="10"/>
        <v>0</v>
      </c>
      <c r="K45" s="64">
        <f t="shared" si="10"/>
        <v>112000</v>
      </c>
      <c r="L45" s="64">
        <f t="shared" si="10"/>
        <v>0</v>
      </c>
      <c r="M45" s="64">
        <f t="shared" si="10"/>
        <v>0</v>
      </c>
      <c r="N45" s="64">
        <f t="shared" si="10"/>
        <v>0</v>
      </c>
      <c r="O45" s="60"/>
      <c r="P45" s="60">
        <f t="shared" ref="P45:Z45" si="11">SUM(P11:P41)</f>
        <v>41550</v>
      </c>
      <c r="Q45" s="60">
        <f t="shared" si="11"/>
        <v>27900</v>
      </c>
      <c r="R45" s="60">
        <f t="shared" si="11"/>
        <v>0</v>
      </c>
      <c r="S45" s="60">
        <f t="shared" si="11"/>
        <v>442</v>
      </c>
      <c r="T45" s="60">
        <f t="shared" si="11"/>
        <v>0</v>
      </c>
      <c r="U45" s="60">
        <f t="shared" si="11"/>
        <v>0</v>
      </c>
      <c r="V45" s="60">
        <f t="shared" si="11"/>
        <v>19100</v>
      </c>
      <c r="W45" s="60">
        <f t="shared" si="11"/>
        <v>222</v>
      </c>
      <c r="X45" s="60">
        <f t="shared" si="11"/>
        <v>2925</v>
      </c>
      <c r="Y45" s="60">
        <f t="shared" si="11"/>
        <v>0</v>
      </c>
      <c r="Z45" s="60">
        <f t="shared" si="11"/>
        <v>0</v>
      </c>
      <c r="AA45" s="60"/>
      <c r="AB45" s="4" t="s">
        <v>19</v>
      </c>
      <c r="AC45" s="60">
        <f>AVERAGE(AC11:AC41)</f>
        <v>8322.5806451612898</v>
      </c>
      <c r="AD45" s="61">
        <f>AVERAGE(AD11:AD41)</f>
        <v>3222.8709677419356</v>
      </c>
      <c r="AE45" s="60">
        <f>AVERAGE(AE11:AE41)</f>
        <v>11545.451612903225</v>
      </c>
      <c r="AF45" s="60" t="e">
        <f>AVERAGE(AF11:AF41)</f>
        <v>#DIV/0!</v>
      </c>
      <c r="AG45" s="60">
        <f>AVERAGE(AG4:AG34)</f>
        <v>27.123008434715697</v>
      </c>
      <c r="AH45" s="60"/>
      <c r="AI45" s="60">
        <f t="shared" ref="AI45:AO45" si="12">AVERAGE(AI11:AI41)</f>
        <v>8869.167148548393</v>
      </c>
      <c r="AJ45" s="62">
        <f t="shared" si="12"/>
        <v>0.12872521260592723</v>
      </c>
      <c r="AK45" s="62">
        <f t="shared" si="12"/>
        <v>2.7978445263559578E-2</v>
      </c>
      <c r="AL45" s="62"/>
      <c r="AM45" s="62"/>
      <c r="AN45" s="62"/>
      <c r="AO45" s="62">
        <f t="shared" si="12"/>
        <v>17.863316901095899</v>
      </c>
      <c r="AP45" s="6"/>
      <c r="AQ45" s="4" t="s">
        <v>19</v>
      </c>
      <c r="AR45" s="63">
        <f t="shared" ref="AR45:AS45" si="13">AVERAGE(AR11:AR41)</f>
        <v>2039.381879328723</v>
      </c>
      <c r="AS45" s="63">
        <f t="shared" si="13"/>
        <v>4747.6810150772662</v>
      </c>
      <c r="AT45" s="132">
        <v>6836</v>
      </c>
    </row>
    <row r="46" spans="1:46">
      <c r="B46" t="s">
        <v>19</v>
      </c>
      <c r="C46" s="64">
        <f>(SUM(C11:C41)/31)</f>
        <v>2812.9032258064517</v>
      </c>
      <c r="D46" s="64">
        <f>(SUM('Jan''16'!C11:C41)/31)</f>
        <v>2016.1290322580646</v>
      </c>
      <c r="E46" s="64">
        <f t="shared" ref="E46:N46" si="14">(SUM(E11:E41)/31)</f>
        <v>208.06451612903226</v>
      </c>
      <c r="F46" s="64">
        <f t="shared" si="14"/>
        <v>204.83870967741936</v>
      </c>
      <c r="G46" s="64">
        <f t="shared" si="14"/>
        <v>0</v>
      </c>
      <c r="H46" s="64">
        <f t="shared" si="14"/>
        <v>0</v>
      </c>
      <c r="I46" s="64">
        <f t="shared" si="14"/>
        <v>0</v>
      </c>
      <c r="J46" s="64">
        <f t="shared" si="14"/>
        <v>0</v>
      </c>
      <c r="K46" s="64">
        <f t="shared" si="14"/>
        <v>3612.9032258064517</v>
      </c>
      <c r="L46" s="64">
        <f t="shared" si="14"/>
        <v>0</v>
      </c>
      <c r="M46" s="64">
        <f t="shared" si="14"/>
        <v>0</v>
      </c>
      <c r="N46" s="64">
        <f t="shared" si="14"/>
        <v>0</v>
      </c>
      <c r="O46" s="4"/>
      <c r="P46" s="64">
        <f t="shared" ref="P46:Z46" si="15">(SUM(P11:P41)/31)</f>
        <v>1340.3225806451612</v>
      </c>
      <c r="Q46" s="64">
        <f t="shared" si="15"/>
        <v>900</v>
      </c>
      <c r="R46" s="64">
        <f t="shared" si="15"/>
        <v>0</v>
      </c>
      <c r="S46" s="64">
        <f t="shared" si="15"/>
        <v>14.258064516129032</v>
      </c>
      <c r="T46" s="64">
        <f t="shared" si="15"/>
        <v>0</v>
      </c>
      <c r="U46" s="64">
        <f t="shared" si="15"/>
        <v>0</v>
      </c>
      <c r="V46" s="64">
        <f t="shared" si="15"/>
        <v>616.12903225806451</v>
      </c>
      <c r="W46" s="64">
        <f t="shared" si="15"/>
        <v>7.161290322580645</v>
      </c>
      <c r="X46" s="64">
        <f t="shared" si="15"/>
        <v>94.354838709677423</v>
      </c>
      <c r="Y46" s="64">
        <f t="shared" si="15"/>
        <v>0</v>
      </c>
      <c r="Z46" s="64">
        <f t="shared" si="15"/>
        <v>0</v>
      </c>
      <c r="AA46" s="74"/>
      <c r="AB46" s="4" t="s">
        <v>20</v>
      </c>
      <c r="AC46" s="64">
        <f>STDEV(AC11:AC41)</f>
        <v>5395.8446776150104</v>
      </c>
      <c r="AD46" s="65">
        <f>STDEV(AD11:AD41)</f>
        <v>2914.0641921771444</v>
      </c>
      <c r="AE46" s="64">
        <f>STDEV(AE11:AE41)</f>
        <v>7362.3394779952459</v>
      </c>
      <c r="AF46" s="64" t="e">
        <f>STDEV(AF11:AF41)</f>
        <v>#DIV/0!</v>
      </c>
      <c r="AG46" s="64" t="e">
        <f>STDEV(AG11:AG41)</f>
        <v>#DIV/0!</v>
      </c>
      <c r="AH46" s="64"/>
      <c r="AI46" s="64">
        <f t="shared" ref="AI46:AO46" si="16">STDEV(AI11:AI41)</f>
        <v>5303.9949429463077</v>
      </c>
      <c r="AJ46" s="66">
        <f t="shared" si="16"/>
        <v>7.6981058678466274E-2</v>
      </c>
      <c r="AK46" s="66">
        <f t="shared" si="16"/>
        <v>1.6731845245887424E-2</v>
      </c>
      <c r="AL46" s="66"/>
      <c r="AM46" s="66"/>
      <c r="AN46" s="66"/>
      <c r="AO46" s="66">
        <f t="shared" si="16"/>
        <v>3.991567509256388</v>
      </c>
      <c r="AP46" s="6"/>
      <c r="AQ46" s="4" t="s">
        <v>20</v>
      </c>
      <c r="AR46" s="64">
        <f>STDEV(AR11:AR41)</f>
        <v>1409.929691535745</v>
      </c>
      <c r="AS46" s="64">
        <f>STDEV(AS11:AS41)</f>
        <v>3282.3163218952154</v>
      </c>
      <c r="AT46" s="132">
        <v>617</v>
      </c>
    </row>
    <row r="47" spans="1:46">
      <c r="C47" s="7"/>
      <c r="D47" s="7"/>
    </row>
  </sheetData>
  <mergeCells count="5">
    <mergeCell ref="AR7:AS7"/>
    <mergeCell ref="AM8:AP8"/>
    <mergeCell ref="C9:N9"/>
    <mergeCell ref="P9:S9"/>
    <mergeCell ref="Z9:AA9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7"/>
  <sheetViews>
    <sheetView workbookViewId="0">
      <selection sqref="A1:XFD1048576"/>
    </sheetView>
  </sheetViews>
  <sheetFormatPr baseColWidth="10" defaultColWidth="8.83203125" defaultRowHeight="15" x14ac:dyDescent="0"/>
  <cols>
    <col min="1" max="1" width="21.1640625" customWidth="1"/>
    <col min="2" max="2" width="9.5" customWidth="1"/>
    <col min="3" max="3" width="8.33203125" customWidth="1"/>
    <col min="4" max="4" width="7.83203125" customWidth="1"/>
    <col min="5" max="5" width="8" customWidth="1"/>
    <col min="6" max="6" width="7.5" customWidth="1"/>
    <col min="7" max="7" width="9.1640625" customWidth="1"/>
    <col min="8" max="8" width="8.5" customWidth="1"/>
    <col min="9" max="9" width="7.5" customWidth="1"/>
    <col min="11" max="11" width="7.5" customWidth="1"/>
    <col min="13" max="14" width="7.83203125" customWidth="1"/>
    <col min="15" max="15" width="8.5" customWidth="1"/>
    <col min="16" max="16" width="8.33203125" customWidth="1"/>
    <col min="17" max="17" width="7.1640625" customWidth="1"/>
    <col min="18" max="18" width="6.33203125" customWidth="1"/>
    <col min="19" max="19" width="8" customWidth="1"/>
    <col min="20" max="20" width="6.5" customWidth="1"/>
    <col min="21" max="21" width="8" customWidth="1"/>
    <col min="22" max="22" width="12.33203125" style="35" customWidth="1"/>
    <col min="23" max="23" width="7.5" customWidth="1"/>
    <col min="24" max="24" width="8.6640625" style="35" customWidth="1"/>
    <col min="25" max="26" width="13.33203125" style="35" customWidth="1"/>
    <col min="27" max="27" width="8" customWidth="1"/>
    <col min="28" max="28" width="11.6640625" customWidth="1"/>
    <col min="29" max="29" width="11.6640625" style="35" customWidth="1"/>
    <col min="30" max="30" width="11.6640625" customWidth="1"/>
    <col min="33" max="33" width="4" customWidth="1"/>
    <col min="34" max="34" width="11.6640625" bestFit="1" customWidth="1"/>
    <col min="35" max="36" width="11.33203125" customWidth="1"/>
    <col min="37" max="37" width="4.6640625" customWidth="1"/>
    <col min="38" max="39" width="8.33203125" style="101" customWidth="1"/>
    <col min="41" max="41" width="3.83203125" style="68" customWidth="1"/>
    <col min="42" max="42" width="5.1640625" customWidth="1"/>
    <col min="43" max="43" width="11.1640625" customWidth="1"/>
    <col min="44" max="44" width="11.33203125" customWidth="1"/>
  </cols>
  <sheetData>
    <row r="1" spans="1:47" ht="18">
      <c r="A1" s="1" t="s">
        <v>75</v>
      </c>
      <c r="B1" s="11"/>
      <c r="C1" s="11"/>
      <c r="D1" s="47" t="s">
        <v>60</v>
      </c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6" t="s">
        <v>45</v>
      </c>
      <c r="W1" s="1"/>
      <c r="X1" s="37"/>
      <c r="Y1" s="37"/>
      <c r="Z1" s="37"/>
      <c r="AA1" s="1"/>
      <c r="AB1" s="2"/>
      <c r="AC1" s="32"/>
      <c r="AD1" s="2"/>
      <c r="AE1" s="2"/>
      <c r="AF1" s="2"/>
      <c r="AG1" s="1"/>
      <c r="AH1" s="1"/>
      <c r="AI1" s="1"/>
      <c r="AJ1" s="1"/>
      <c r="AK1" s="1"/>
      <c r="AL1" s="19"/>
      <c r="AM1" s="19"/>
      <c r="AN1" s="1"/>
      <c r="AO1" s="67"/>
    </row>
    <row r="2" spans="1:47" ht="19" thickBot="1">
      <c r="A2" s="29"/>
      <c r="B2" s="1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2">
        <v>36</v>
      </c>
      <c r="W2" s="1"/>
      <c r="X2" s="37"/>
      <c r="Y2" s="37"/>
      <c r="Z2" s="37"/>
      <c r="AA2" s="1"/>
      <c r="AB2" s="2"/>
      <c r="AC2" s="32"/>
      <c r="AD2" s="2"/>
      <c r="AE2" s="2"/>
      <c r="AF2" s="2"/>
      <c r="AG2" s="1"/>
      <c r="AH2" s="1"/>
      <c r="AI2" s="1"/>
      <c r="AJ2" s="1"/>
      <c r="AK2" s="1"/>
      <c r="AL2" s="19"/>
      <c r="AM2" s="19"/>
      <c r="AN2" s="1"/>
      <c r="AO2" s="67"/>
      <c r="AR2" s="35" t="s">
        <v>73</v>
      </c>
    </row>
    <row r="3" spans="1:47" ht="18">
      <c r="A3" s="29" t="s">
        <v>23</v>
      </c>
      <c r="B3" s="12">
        <v>8.5</v>
      </c>
      <c r="C3" s="12">
        <v>8.5</v>
      </c>
      <c r="D3" s="13">
        <v>21.5</v>
      </c>
      <c r="E3" s="13">
        <v>33</v>
      </c>
      <c r="F3" s="13">
        <v>25</v>
      </c>
      <c r="G3" s="13">
        <v>88</v>
      </c>
      <c r="H3" s="13">
        <v>37</v>
      </c>
      <c r="I3" s="13">
        <v>92</v>
      </c>
      <c r="J3" s="13">
        <v>3.4</v>
      </c>
      <c r="K3" s="13">
        <v>98</v>
      </c>
      <c r="L3" s="13">
        <v>42</v>
      </c>
      <c r="M3" s="13">
        <v>35</v>
      </c>
      <c r="N3" s="29" t="s">
        <v>23</v>
      </c>
      <c r="O3" s="13">
        <v>5</v>
      </c>
      <c r="P3" s="13">
        <v>45</v>
      </c>
      <c r="Q3" s="38">
        <v>2.5</v>
      </c>
      <c r="R3" s="13"/>
      <c r="S3" s="13"/>
      <c r="T3" s="13"/>
      <c r="U3" s="13">
        <v>7</v>
      </c>
      <c r="V3" s="38">
        <v>25</v>
      </c>
      <c r="W3" s="13">
        <v>8</v>
      </c>
      <c r="X3" s="38">
        <v>95</v>
      </c>
      <c r="Y3" s="38"/>
      <c r="Z3" s="38"/>
      <c r="AA3" s="1"/>
      <c r="AB3" s="2"/>
      <c r="AC3" s="32"/>
      <c r="AD3" s="2"/>
      <c r="AE3" s="2"/>
      <c r="AF3" s="2"/>
      <c r="AG3" s="1"/>
      <c r="AI3" s="6" t="s">
        <v>34</v>
      </c>
      <c r="AJ3" s="6" t="s">
        <v>35</v>
      </c>
      <c r="AK3" s="1"/>
      <c r="AL3" s="19"/>
      <c r="AM3" s="19"/>
      <c r="AN3" s="1"/>
      <c r="AO3" s="67"/>
      <c r="AQ3" t="s">
        <v>72</v>
      </c>
      <c r="AR3" s="109">
        <v>0.6</v>
      </c>
    </row>
    <row r="4" spans="1:47" ht="18">
      <c r="A4" s="29" t="s">
        <v>24</v>
      </c>
      <c r="B4" s="12">
        <v>76.5</v>
      </c>
      <c r="C4" s="12">
        <v>76.5</v>
      </c>
      <c r="D4" s="13">
        <v>83</v>
      </c>
      <c r="E4" s="13">
        <v>93</v>
      </c>
      <c r="F4" s="13">
        <v>85</v>
      </c>
      <c r="G4" s="13">
        <v>88</v>
      </c>
      <c r="H4" s="13">
        <v>85</v>
      </c>
      <c r="I4" s="13">
        <v>85</v>
      </c>
      <c r="J4" s="13">
        <v>63.3</v>
      </c>
      <c r="K4" s="13">
        <v>80</v>
      </c>
      <c r="L4" s="13">
        <v>90</v>
      </c>
      <c r="M4" s="13">
        <v>85</v>
      </c>
      <c r="N4" s="29" t="s">
        <v>24</v>
      </c>
      <c r="O4" s="13">
        <v>96.6</v>
      </c>
      <c r="P4" s="13">
        <v>99</v>
      </c>
      <c r="Q4" s="38">
        <v>95</v>
      </c>
      <c r="R4" s="13"/>
      <c r="S4" s="13"/>
      <c r="T4" s="13"/>
      <c r="U4" s="13">
        <v>95</v>
      </c>
      <c r="V4" s="38">
        <v>95</v>
      </c>
      <c r="W4" s="13">
        <v>92</v>
      </c>
      <c r="X4" s="38">
        <v>90</v>
      </c>
      <c r="Y4" s="38"/>
      <c r="Z4" s="38"/>
      <c r="AA4" s="1"/>
      <c r="AB4" s="2"/>
      <c r="AC4" s="32"/>
      <c r="AD4" s="2"/>
      <c r="AE4" s="2"/>
      <c r="AF4" s="2"/>
      <c r="AG4" s="1"/>
      <c r="AH4" s="4" t="s">
        <v>64</v>
      </c>
      <c r="AI4" s="7">
        <v>106000</v>
      </c>
      <c r="AJ4" s="7">
        <v>317000</v>
      </c>
      <c r="AK4" s="1"/>
      <c r="AL4" s="19"/>
      <c r="AM4" s="19"/>
      <c r="AN4" s="1"/>
      <c r="AO4" s="67"/>
    </row>
    <row r="5" spans="1:47" ht="18">
      <c r="A5" s="29" t="s">
        <v>61</v>
      </c>
      <c r="B5" s="12">
        <v>19</v>
      </c>
      <c r="C5" s="12">
        <v>19</v>
      </c>
      <c r="D5" s="13">
        <v>20</v>
      </c>
      <c r="E5" s="13">
        <v>40</v>
      </c>
      <c r="F5" s="13">
        <v>15</v>
      </c>
      <c r="G5" s="13">
        <v>25</v>
      </c>
      <c r="H5" s="13">
        <v>15</v>
      </c>
      <c r="I5" s="13">
        <v>60</v>
      </c>
      <c r="J5" s="13">
        <v>2.7</v>
      </c>
      <c r="K5" s="13">
        <v>175</v>
      </c>
      <c r="L5" s="13">
        <v>20</v>
      </c>
      <c r="M5" s="13">
        <v>30</v>
      </c>
      <c r="N5" s="29" t="s">
        <v>25</v>
      </c>
      <c r="O5" s="13">
        <v>6</v>
      </c>
      <c r="P5" s="13">
        <v>100</v>
      </c>
      <c r="Q5" s="38">
        <v>75</v>
      </c>
      <c r="R5" s="13"/>
      <c r="S5" s="13"/>
      <c r="T5" s="13"/>
      <c r="U5" s="13">
        <v>20</v>
      </c>
      <c r="V5" s="38">
        <v>20</v>
      </c>
      <c r="W5" s="13">
        <v>20</v>
      </c>
      <c r="X5" s="38">
        <v>98</v>
      </c>
      <c r="Y5" s="38"/>
      <c r="Z5" s="38"/>
      <c r="AA5" s="1"/>
      <c r="AB5" s="2"/>
      <c r="AC5" s="32"/>
      <c r="AD5" s="2"/>
      <c r="AE5" s="2"/>
      <c r="AF5" s="2"/>
      <c r="AG5" s="1"/>
      <c r="AH5" s="4" t="s">
        <v>36</v>
      </c>
      <c r="AI5" s="105">
        <v>0.65</v>
      </c>
      <c r="AJ5" s="105">
        <v>1</v>
      </c>
      <c r="AK5" s="1"/>
      <c r="AL5" s="19"/>
      <c r="AM5" s="19"/>
      <c r="AN5" s="1"/>
      <c r="AO5" s="67"/>
      <c r="AR5" s="35" t="s">
        <v>73</v>
      </c>
    </row>
    <row r="6" spans="1:47" s="35" customFormat="1" ht="18">
      <c r="A6" s="5" t="s">
        <v>26</v>
      </c>
      <c r="B6" s="106">
        <v>1</v>
      </c>
      <c r="C6" s="106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5" t="s">
        <v>26</v>
      </c>
      <c r="O6" s="38">
        <v>1</v>
      </c>
      <c r="P6" s="38">
        <v>1</v>
      </c>
      <c r="Q6" s="38">
        <v>1</v>
      </c>
      <c r="R6" s="38"/>
      <c r="S6" s="38"/>
      <c r="T6" s="38"/>
      <c r="U6" s="38">
        <v>1</v>
      </c>
      <c r="V6" s="38">
        <v>1</v>
      </c>
      <c r="W6" s="38">
        <v>1</v>
      </c>
      <c r="X6" s="38">
        <v>1</v>
      </c>
      <c r="Y6" s="38"/>
      <c r="Z6" s="38"/>
      <c r="AA6" s="37"/>
      <c r="AB6" s="32"/>
      <c r="AC6" s="32"/>
      <c r="AD6" s="32"/>
      <c r="AE6" s="32"/>
      <c r="AF6" s="32"/>
      <c r="AG6" s="37"/>
      <c r="AH6" s="74" t="s">
        <v>65</v>
      </c>
      <c r="AI6" s="36">
        <f>AI4*AI5</f>
        <v>68900</v>
      </c>
      <c r="AJ6" s="36">
        <f>AJ4*AJ5</f>
        <v>317000</v>
      </c>
      <c r="AK6" s="37"/>
      <c r="AL6" s="107"/>
      <c r="AM6" s="107"/>
      <c r="AN6" s="37"/>
      <c r="AO6" s="108"/>
      <c r="AQ6" t="s">
        <v>58</v>
      </c>
      <c r="AR6" s="109">
        <v>0.38800000000000001</v>
      </c>
    </row>
    <row r="7" spans="1:47" ht="18">
      <c r="A7" s="29" t="s">
        <v>29</v>
      </c>
      <c r="B7" s="83">
        <v>1</v>
      </c>
      <c r="C7" s="83">
        <v>1</v>
      </c>
      <c r="D7" s="14">
        <v>1</v>
      </c>
      <c r="E7" s="14">
        <v>0.95</v>
      </c>
      <c r="F7" s="14">
        <v>0.95</v>
      </c>
      <c r="G7" s="14">
        <v>0.5</v>
      </c>
      <c r="H7" s="14">
        <v>0.75</v>
      </c>
      <c r="I7" s="14">
        <v>0.65</v>
      </c>
      <c r="J7" s="14">
        <v>1</v>
      </c>
      <c r="K7" s="14">
        <v>0.3</v>
      </c>
      <c r="L7" s="14">
        <v>0.6</v>
      </c>
      <c r="M7" s="14">
        <v>0.7</v>
      </c>
      <c r="N7" s="29" t="s">
        <v>29</v>
      </c>
      <c r="O7" s="14">
        <v>1</v>
      </c>
      <c r="P7" s="14">
        <v>1</v>
      </c>
      <c r="Q7" s="39">
        <v>1</v>
      </c>
      <c r="R7" s="14"/>
      <c r="S7" s="14"/>
      <c r="T7" s="14"/>
      <c r="U7" s="14">
        <v>1</v>
      </c>
      <c r="V7" s="39">
        <v>1</v>
      </c>
      <c r="W7" s="14">
        <v>1</v>
      </c>
      <c r="X7" s="39">
        <v>1</v>
      </c>
      <c r="Y7" s="39"/>
      <c r="Z7" s="39"/>
      <c r="AB7" s="3"/>
      <c r="AC7" s="33"/>
      <c r="AD7" s="3"/>
      <c r="AE7" s="3"/>
      <c r="AF7" s="3"/>
      <c r="AH7" s="4" t="s">
        <v>71</v>
      </c>
      <c r="AJ7" s="68" t="s">
        <v>68</v>
      </c>
      <c r="AQ7" s="134" t="s">
        <v>59</v>
      </c>
      <c r="AR7" s="134"/>
    </row>
    <row r="8" spans="1:47" ht="18">
      <c r="A8" s="48" t="s">
        <v>74</v>
      </c>
      <c r="B8" s="84">
        <v>320</v>
      </c>
      <c r="C8" s="84">
        <v>320</v>
      </c>
      <c r="D8" s="85">
        <v>300</v>
      </c>
      <c r="E8" s="85">
        <v>660</v>
      </c>
      <c r="F8" s="85">
        <v>550</v>
      </c>
      <c r="G8" s="86">
        <v>500</v>
      </c>
      <c r="H8" s="85">
        <v>450</v>
      </c>
      <c r="I8" s="87">
        <v>333</v>
      </c>
      <c r="J8" s="88">
        <v>0</v>
      </c>
      <c r="K8" s="87">
        <v>333</v>
      </c>
      <c r="L8" s="87">
        <v>333</v>
      </c>
      <c r="M8" s="85">
        <v>450</v>
      </c>
      <c r="N8" s="1"/>
      <c r="O8" s="89">
        <v>500</v>
      </c>
      <c r="P8" s="90">
        <v>800</v>
      </c>
      <c r="Q8" s="91">
        <v>800</v>
      </c>
      <c r="U8" s="90">
        <v>700</v>
      </c>
      <c r="V8" s="91">
        <v>700</v>
      </c>
      <c r="W8" s="92">
        <v>900</v>
      </c>
      <c r="X8" s="91">
        <v>900</v>
      </c>
      <c r="AB8" s="3"/>
      <c r="AC8" s="5"/>
      <c r="AD8" s="3"/>
      <c r="AE8" s="3"/>
      <c r="AF8" s="3"/>
      <c r="AH8" s="99"/>
      <c r="AI8" s="100" t="s">
        <v>37</v>
      </c>
      <c r="AJ8" s="100"/>
      <c r="AL8" s="135" t="s">
        <v>69</v>
      </c>
      <c r="AM8" s="135"/>
      <c r="AN8" s="135"/>
      <c r="AO8" s="135"/>
      <c r="AQ8" s="4" t="s">
        <v>54</v>
      </c>
      <c r="AR8" s="4" t="s">
        <v>54</v>
      </c>
    </row>
    <row r="9" spans="1:47">
      <c r="B9" s="136" t="s">
        <v>18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O9" s="137" t="s">
        <v>42</v>
      </c>
      <c r="P9" s="137"/>
      <c r="Q9" s="137"/>
      <c r="R9" s="137"/>
      <c r="S9" s="50"/>
      <c r="T9" s="50"/>
      <c r="U9" s="50"/>
      <c r="V9" s="50"/>
      <c r="W9" s="50"/>
      <c r="X9" s="50"/>
      <c r="Y9" s="138" t="s">
        <v>51</v>
      </c>
      <c r="Z9" s="138"/>
      <c r="AA9" s="5"/>
      <c r="AB9" s="49" t="s">
        <v>0</v>
      </c>
      <c r="AC9" s="50" t="s">
        <v>1</v>
      </c>
      <c r="AD9" s="5" t="s">
        <v>2</v>
      </c>
      <c r="AE9" s="49" t="s">
        <v>3</v>
      </c>
      <c r="AF9" s="50" t="s">
        <v>4</v>
      </c>
      <c r="AG9" s="4"/>
      <c r="AH9" s="4"/>
      <c r="AI9" s="6" t="s">
        <v>34</v>
      </c>
      <c r="AJ9" s="6" t="s">
        <v>35</v>
      </c>
      <c r="AK9" s="4"/>
      <c r="AL9" s="19"/>
      <c r="AM9" s="19"/>
      <c r="AN9" s="4" t="s">
        <v>39</v>
      </c>
      <c r="AO9" s="6"/>
      <c r="AQ9" s="4" t="s">
        <v>55</v>
      </c>
      <c r="AR9" s="4" t="s">
        <v>56</v>
      </c>
    </row>
    <row r="10" spans="1:47" ht="45">
      <c r="A10" s="6" t="s">
        <v>62</v>
      </c>
      <c r="B10" s="93" t="s">
        <v>6</v>
      </c>
      <c r="C10" s="94" t="s">
        <v>5</v>
      </c>
      <c r="D10" s="93" t="s">
        <v>7</v>
      </c>
      <c r="E10" s="93" t="s">
        <v>28</v>
      </c>
      <c r="F10" s="93" t="s">
        <v>27</v>
      </c>
      <c r="G10" s="93" t="s">
        <v>31</v>
      </c>
      <c r="H10" s="93" t="s">
        <v>32</v>
      </c>
      <c r="I10" s="93" t="s">
        <v>33</v>
      </c>
      <c r="J10" s="93" t="s">
        <v>8</v>
      </c>
      <c r="K10" s="93" t="s">
        <v>9</v>
      </c>
      <c r="L10" s="93" t="s">
        <v>30</v>
      </c>
      <c r="M10" s="93" t="s">
        <v>10</v>
      </c>
      <c r="N10" s="9" t="s">
        <v>62</v>
      </c>
      <c r="O10" s="94" t="s">
        <v>11</v>
      </c>
      <c r="P10" s="94" t="s">
        <v>44</v>
      </c>
      <c r="Q10" s="94" t="s">
        <v>12</v>
      </c>
      <c r="R10" s="94" t="s">
        <v>13</v>
      </c>
      <c r="S10" s="94" t="s">
        <v>14</v>
      </c>
      <c r="T10" s="94" t="s">
        <v>15</v>
      </c>
      <c r="U10" s="94" t="s">
        <v>43</v>
      </c>
      <c r="V10" s="95" t="s">
        <v>52</v>
      </c>
      <c r="W10" s="94" t="s">
        <v>22</v>
      </c>
      <c r="X10" s="95" t="s">
        <v>41</v>
      </c>
      <c r="Y10" s="97" t="s">
        <v>47</v>
      </c>
      <c r="Z10" s="97" t="s">
        <v>46</v>
      </c>
      <c r="AA10" s="6"/>
      <c r="AB10" s="29" t="s">
        <v>16</v>
      </c>
      <c r="AC10" s="5" t="s">
        <v>16</v>
      </c>
      <c r="AD10" s="29" t="s">
        <v>16</v>
      </c>
      <c r="AE10" s="3" t="s">
        <v>17</v>
      </c>
      <c r="AF10" s="3" t="s">
        <v>17</v>
      </c>
      <c r="AH10" s="6" t="s">
        <v>66</v>
      </c>
      <c r="AI10" s="4" t="s">
        <v>67</v>
      </c>
      <c r="AJ10" s="4" t="s">
        <v>67</v>
      </c>
      <c r="AL10" s="20" t="s">
        <v>25</v>
      </c>
      <c r="AM10" s="20" t="s">
        <v>26</v>
      </c>
      <c r="AN10" s="6" t="s">
        <v>38</v>
      </c>
      <c r="AO10" s="6" t="s">
        <v>26</v>
      </c>
      <c r="AQ10" s="6" t="s">
        <v>53</v>
      </c>
      <c r="AR10" s="6" t="s">
        <v>57</v>
      </c>
    </row>
    <row r="11" spans="1:47">
      <c r="A11">
        <v>1</v>
      </c>
      <c r="B11" s="11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11"/>
      <c r="N11" s="8">
        <v>1</v>
      </c>
      <c r="O11" s="110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11"/>
      <c r="AB11" s="10">
        <f t="shared" ref="AB11:AB41" si="0">SUM(B11:M11)</f>
        <v>0</v>
      </c>
      <c r="AC11" s="34">
        <f>O11+P11+Q11+R11+U11+(V11*$V$2)+W11+X11+Y11</f>
        <v>0</v>
      </c>
      <c r="AD11" s="10">
        <f t="shared" ref="AD11:AD41" si="1">SUM(AB11:AC11)</f>
        <v>0</v>
      </c>
      <c r="AE11" s="72" t="e">
        <f t="shared" ref="AE11:AE41" si="2">(AB11*100)/AD11</f>
        <v>#DIV/0!</v>
      </c>
      <c r="AF11" s="72" t="e">
        <f t="shared" ref="AF11:AF41" si="3">(AC11*100)/AD11</f>
        <v>#DIV/0!</v>
      </c>
      <c r="AH11" s="70">
        <f t="shared" ref="AH11:AH41" si="4">((B11*8.34*$B$7*($B$3/100))*($B$4/100))+((C11*8.34*$C$7*($C$3/100))*($C$4/100))+ ((D11*8.34*$D$7*($D$3/100))*($D$4/100))+((E11*8.34*$E$7*($E$3/100))*($E$4/100))+ ((F11*8.34*$F$7*($F$3/100))*($F$4/100))+((G11*8.34*$G$7*($G$3/100))*($G$4/100))+ ((H11*8.34*$H$7*($H$3/100))*($H$4/100))+((I11*8.34*$I$7*($I$3/100))*($I$4/100))+ ((J11*8.34*$J$7*($J$3/100))*($J$4/100))+((K11*8.34*$K$7*($K$3/100))*($K$4/100))+ ((L11*8.34*$L$7*($L$3/100))*($L$4/100))+((M11*8.34*$M$7*($M$3/100))*($M$4/100))+ ((O11*8.34*$O$7*($O$3/100))*($O$4/100))+((P11*8.34*$P$7*($P$3/100))*($P$4/100))+
((Q11*8.34*$Q$7*($Q$3/100))*($Q$4/100))+((R11*8.34*$R$7*($R$3/100))*($R$4/100))+
((U11*8.34*$U$7*($U$3/100))*($U$4/100))+(((V11*$V$2)*8.34*$V$7*($V$3/100))*($V$4/100))+
((W11*8.34*$W$7*($W$3/100))*($W$4/100))+((X11*8.34*$X$7*($X$3/100))*($X$4/100))</f>
        <v>0</v>
      </c>
      <c r="AI11" s="17">
        <f t="shared" ref="AI11:AI41" si="5">AH11/$AI$6</f>
        <v>0</v>
      </c>
      <c r="AJ11" s="17">
        <f t="shared" ref="AJ11:AJ41" si="6">AH11/$AJ$6</f>
        <v>0</v>
      </c>
      <c r="AL11" s="102">
        <f t="shared" ref="AL11:AL41" si="7">((((B11*8.34*$B$7*($B$3/100))*($B$4/100))/($B$5+$B$6))*$B$5)
+((((C11*8.34*$C$7*($C$3/100))*($C$4/100))/($C$5+$C$6))*$C$5)
+((((D11*8.34*$D$7*($D$3/100))*($D$4/100))/($D$5+$D$6))*$D$5)
+((((E11*8.34*$E$7*($E$3/100))*($E$4/100))/($E$5+$E$6))*$E$5)
+((((F11*8.34*$F$7*($F$3/100))*($F$4/100))/($F$5+$F$6))*$F$5)
+((((G11*8.34*$G$7*($G$3/100))*($G$4/100))/($G$5+$G$6))*$G$5)
+((((H11*8.34*$H$7*($H$3/100))*($H$4/100))/($H$5+$H$6))*$H$5)
+((((I11*8.34*$I$7*($I$3/100))*($I$4/100))/($I$5+$I$6))*$I$5)
+((((J11*8.34*$J$7*($J$3/100))*($J$4/100))/($J$5+$J$6))*$J$5)
+((((K11*8.34*$K$7*($K$3/100))*($K$4/100))/($K$5+$K$6))*$K$5)
+((((L11*8.34*$L$7*($L$3/100))*($L$4/100))/($L$5+$L$6))*$L$5)
+((((M11*8.34*$M$7*($M$3/100))*($M$4/100))/($M$5+$M$6))*$M$5)
+((((O11*8.34*$O$7*($O$3/100))*($O$4/100))/($O$5+$O$6))*$O$5)
+((((P11*8.34*$P$7*($P$3/100))*($P$4/100))/($P$5+$P$6))*$P$5)
+((((Q11*8.34*$Q$7*($Q$3/100))*($Q$4/100))/($Q$5+$Q$6))*$Q$5)
+((((U11*8.34*$U$7*($U$3/100))*($U$4/100))/($U$5+$U$6))*$U$5)
+(((((V11*$V$2)*8.34*$V$7*($V$3/100))*($V$4/100))/($V$5+$V$6))*$V$5)
+((((W11*8.34*$W$7*($W$3/100))*($W$4/100))/($W$5+$W$6))*$W$5)
+((((X11*8.34*$X$7*($X$3/100))*($X$4/100))/($X$5+$X$6))*$X$5)</f>
        <v>0</v>
      </c>
      <c r="AM11" s="102">
        <f t="shared" ref="AM11:AM41" si="8">((((B11*8.34*$B$7*($B$3/100))*($B$4/100))/($B$5+$B$6))*$B$6)
+((((C11*8.34*$C$7*($C$3/100))*($C$4/100))/($C$5+$C$6))*$C$6)
+((((D11*8.34*$D$7*($D$3/100))*($D$4/100))/($D$5+$D$6))*$D$6)
+((((E11*8.34*$E$7*($E$3/100))*($E$4/100))/($E$5+$E$6))*$E$6)
+((((F11*8.34*$F$7*($F$3/100))*($F$4/100))/($F$5+$F$6))*$F$6)
+((((G11*8.34*$G$7*($G$3/100))*($G$4/100))/($G$5+$G$6))*$G$6)
+((((H11*8.34*$H$7*($H$3/100))*($H$4/100))/($H$5+$H$6))*$H$6)
+((((I11*8.34*$I$7*($I$3/100))*($I$4/100))/($I$5+$I$6))*$I$6)
+((((J11*8.34*$J$7*($J$3/100))*($J$4/100))/($J$5+$J$6))*$J$6)
+((((K11*8.34*$K$7*($K$3/100))*($K$4/100))/($K$5+$K$6))*$K$6)
+((((L11*8.34*$L$7*($L$3/100))*($L$4/100))/($L$5+$L$6))*$L$6)
+((((M11*8.34*$M$7*($M$3/100))*($M$4/100))/($M$5+$M$6))*$M$6)
+((((O11*8.34*$O$7*($O$3/100))*($O$4/100))/($O$5+$O$6))*$O$6)
+((((P11*8.34*$P$7*($P$3/100))*($P$4/100))/($P$5+$P$6))*$P$6)
+((((Q11*8.34*$Q$7*($Q$3/100))*($Q$4/100))/($Q$5+$Q$6))*$Q$6)
+((((U11*8.34*$U$7*($U$3/100))*($U$4/100))/($U$5+$U$6))*$U$6)
+(((((V11*$V$2) *8.34*$V$7*($V$3/100))*($V$4/100))/($V$5+$V$6))*$V$6)
+((((W11*8.34*$W$7*($W$3/100))*($W$4/100))/($W$5+$W$6))*$W$6)
+((((X11*8.34*$X$7*($X$3/100))*($X$4/100))/($X$5+$X$6))*$X$6)</f>
        <v>0</v>
      </c>
      <c r="AN11" s="46" t="e">
        <f>((AL11+AM11)/AM11)-1</f>
        <v>#DIV/0!</v>
      </c>
      <c r="AO11" s="68">
        <v>1</v>
      </c>
      <c r="AQ11" s="18">
        <f>(B11*($B$3/100)*($B$4/100)*$B$7*8.34*0.000453592*$B$8)+
(C11*($C$3/100)*($C$4/100)*$C$7*8.34*0.000453592*$C$8)+
(D11*($D$3/100)*($D$4/100)*$D$7*8.34*0.000453592*$D$8)+
(E11*($E$3/100)*($E$4/100)*$E$7*8.34*0.000453592*$E$8)+
(F11*($F$3/100)*($F$4/100)*$F$7*8.34*0.000453592*$F$8)+
(G11*($G$3/100)*($G$4/100)*$G$7*8.34*0.000453592*$G$8)+
(H11*($H$3/100)*($H$4/100)*$H$7*8.34*0.000453592*$H$8)+
(I11*($I$3/100)*($I$4/100)*$I$7*8.34*0.000453592*$I$8)+
(J11*($J$3/100)*($J$4/100)*$J$7*8.34*0.000453592*$J$8)+
(K11*($K$3/100)*($K$4/100)*$K$7*8.34*0.000453592*$K$8)+
(L11*($L$3/100)*($L$4/100)*$L$7*8.34*0.000453592*$L$8)+
(M11*($M$3/100)*($M$4/100)*$M$7*8.34*0.000453592*$M$8)+
(O11*($O$3/100)*($O$4/100)*$O$7*8.34*0.000453592*$O$8)+
(P11*($P$3/100)*($P$4/100)*$P$7*8.34*0.000453592*$P$8)+
(Q11*($Q$3/100)*($Q$4/100)*$Q$7*8.34*0.000453592*$Q$8)+
(U11*($U$3/100)*($U$4/100)*$U$7*8.34*0.000453592*$U$8)+
(V11*$V$2*($V$3/100)*($BV$4/100)*$V$7*8.34*0.000453592*$V$8)+
(W11*($W$3/100)*($W$4/100)*$W$7*8.34*0.000453592*$W$8)+
(X11*($X$3/100)*($X$4/100)*$X$7*8.34*0.000453592*$X$8)</f>
        <v>0</v>
      </c>
      <c r="AR11" s="18">
        <f>AQ11*$AR$3*10*$AR$6</f>
        <v>0</v>
      </c>
      <c r="AU11" s="40"/>
    </row>
    <row r="12" spans="1:47">
      <c r="A12">
        <v>2</v>
      </c>
      <c r="B12" s="11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13"/>
      <c r="N12" s="8">
        <v>2</v>
      </c>
      <c r="O12" s="112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13"/>
      <c r="AB12" s="10">
        <f t="shared" si="0"/>
        <v>0</v>
      </c>
      <c r="AC12" s="34">
        <f>O12+P12+Q12+R12+U12+(V12*$V$2)+W12+X12+Y12</f>
        <v>0</v>
      </c>
      <c r="AD12" s="10">
        <f t="shared" si="1"/>
        <v>0</v>
      </c>
      <c r="AE12" s="72" t="e">
        <f t="shared" si="2"/>
        <v>#DIV/0!</v>
      </c>
      <c r="AF12" s="72" t="e">
        <f t="shared" si="3"/>
        <v>#DIV/0!</v>
      </c>
      <c r="AH12" s="70">
        <f t="shared" si="4"/>
        <v>0</v>
      </c>
      <c r="AI12" s="17">
        <f t="shared" si="5"/>
        <v>0</v>
      </c>
      <c r="AJ12" s="17">
        <f t="shared" si="6"/>
        <v>0</v>
      </c>
      <c r="AL12" s="102">
        <f t="shared" si="7"/>
        <v>0</v>
      </c>
      <c r="AM12" s="102">
        <f t="shared" si="8"/>
        <v>0</v>
      </c>
      <c r="AN12" s="46" t="e">
        <f t="shared" ref="AN12:AN41" si="9">((AL12+AM12)/AM12)-1</f>
        <v>#DIV/0!</v>
      </c>
      <c r="AO12" s="68">
        <v>1</v>
      </c>
      <c r="AQ12" s="18">
        <f t="shared" ref="AQ12:AQ41" si="10">(B12*($B$3/100)*($B$4/100)*$B$7*8.34*0.000453592*$B$8)+
(C12*($C$3/100)*($C$4/100)*$C$7*8.34*0.000453592*$C$8)+
(D12*($D$3/100)*($D$4/100)*$D$7*8.34*0.000453592*$D$8)+
(E12*($E$3/100)*($E$4/100)*$E$7*8.34*0.000453592*$E$8)+
(F12*($F$3/100)*($F$4/100)*$F$7*8.34*0.000453592*$F$8)+
(G12*($G$3/100)*($G$4/100)*$G$7*8.34*0.000453592*$G$8)+
(H12*($H$3/100)*($H$4/100)*$H$7*8.34*0.000453592*$H$8)+
(I12*($I$3/100)*($I$4/100)*$I$7*8.34*0.000453592*$I$8)+
(J12*($J$3/100)*($J$4/100)*$J$7*8.34*0.000453592*$J$8)+
(K12*($K$3/100)*($K$4/100)*$K$7*8.34*0.000453592*$K$8)+
(L12*($L$3/100)*($L$4/100)*$L$7*8.34*0.000453592*$L$8)+
(M12*($M$3/100)*($M$4/100)*$M$7*8.34*0.000453592*$M$8)+
(O12*($O$3/100)*($O$4/100)*$O$7*8.34*0.000453592*$O$8)+
(P12*($P$3/100)*($P$4/100)*$P$7*8.34*0.000453592*$P$8)+
(Q12*($Q$3/100)*($Q$4/100)*$Q$7*8.34*0.000453592*$Q$8)+
(U12*($U$3/100)*($U$4/100)*$U$7*8.34*0.000453592*$U$8)+
(V12*$V$2*($V$3/100)*($BV$4/100)*$V$7*8.34*0.000453592*$V$8)+
(W12*($W$3/100)*($W$4/100)*$W$7*8.34*0.000453592*$W$8)+
(X12*($X$3/100)*($X$4/100)*$X$7*8.34*0.000453592*$X$8)</f>
        <v>0</v>
      </c>
      <c r="AR12" s="18">
        <f t="shared" ref="AR12:AR41" si="11">AQ12*$AR$3*10*$AR$6</f>
        <v>0</v>
      </c>
      <c r="AU12" s="40"/>
    </row>
    <row r="13" spans="1:47">
      <c r="A13">
        <v>3</v>
      </c>
      <c r="B13" s="11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13"/>
      <c r="N13" s="8">
        <v>3</v>
      </c>
      <c r="O13" s="112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13"/>
      <c r="AB13" s="10">
        <f t="shared" si="0"/>
        <v>0</v>
      </c>
      <c r="AC13" s="34">
        <f t="shared" ref="AC13:AC41" si="12">O13+P13+Q13+R13+U13+(V13*$V$2)+W13+X13+Y13</f>
        <v>0</v>
      </c>
      <c r="AD13" s="10">
        <f t="shared" si="1"/>
        <v>0</v>
      </c>
      <c r="AE13" s="72" t="e">
        <f t="shared" si="2"/>
        <v>#DIV/0!</v>
      </c>
      <c r="AF13" s="72" t="e">
        <f t="shared" si="3"/>
        <v>#DIV/0!</v>
      </c>
      <c r="AH13" s="70">
        <f t="shared" si="4"/>
        <v>0</v>
      </c>
      <c r="AI13" s="17">
        <f t="shared" si="5"/>
        <v>0</v>
      </c>
      <c r="AJ13" s="17">
        <f t="shared" si="6"/>
        <v>0</v>
      </c>
      <c r="AL13" s="102">
        <f t="shared" si="7"/>
        <v>0</v>
      </c>
      <c r="AM13" s="102">
        <f t="shared" si="8"/>
        <v>0</v>
      </c>
      <c r="AN13" s="46" t="e">
        <f t="shared" si="9"/>
        <v>#DIV/0!</v>
      </c>
      <c r="AO13" s="68">
        <v>1</v>
      </c>
      <c r="AQ13" s="18">
        <f t="shared" si="10"/>
        <v>0</v>
      </c>
      <c r="AR13" s="18">
        <f t="shared" si="11"/>
        <v>0</v>
      </c>
      <c r="AU13" s="40"/>
    </row>
    <row r="14" spans="1:47">
      <c r="A14">
        <v>4</v>
      </c>
      <c r="B14" s="11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13"/>
      <c r="N14" s="8">
        <v>4</v>
      </c>
      <c r="O14" s="112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13"/>
      <c r="AB14" s="10">
        <f t="shared" si="0"/>
        <v>0</v>
      </c>
      <c r="AC14" s="34">
        <f t="shared" si="12"/>
        <v>0</v>
      </c>
      <c r="AD14" s="10">
        <f t="shared" si="1"/>
        <v>0</v>
      </c>
      <c r="AE14" s="72" t="e">
        <f t="shared" si="2"/>
        <v>#DIV/0!</v>
      </c>
      <c r="AF14" s="72" t="e">
        <f t="shared" si="3"/>
        <v>#DIV/0!</v>
      </c>
      <c r="AH14" s="70">
        <f t="shared" si="4"/>
        <v>0</v>
      </c>
      <c r="AI14" s="17">
        <f t="shared" si="5"/>
        <v>0</v>
      </c>
      <c r="AJ14" s="17">
        <f t="shared" si="6"/>
        <v>0</v>
      </c>
      <c r="AL14" s="102">
        <f t="shared" si="7"/>
        <v>0</v>
      </c>
      <c r="AM14" s="102">
        <f t="shared" si="8"/>
        <v>0</v>
      </c>
      <c r="AN14" s="46" t="e">
        <f t="shared" si="9"/>
        <v>#DIV/0!</v>
      </c>
      <c r="AO14" s="68">
        <v>1</v>
      </c>
      <c r="AQ14" s="18">
        <f t="shared" si="10"/>
        <v>0</v>
      </c>
      <c r="AR14" s="18">
        <f t="shared" si="11"/>
        <v>0</v>
      </c>
      <c r="AU14" s="40"/>
    </row>
    <row r="15" spans="1:47">
      <c r="A15">
        <v>5</v>
      </c>
      <c r="B15" s="11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13"/>
      <c r="N15" s="8">
        <v>5</v>
      </c>
      <c r="O15" s="112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113"/>
      <c r="AB15" s="10">
        <f t="shared" si="0"/>
        <v>0</v>
      </c>
      <c r="AC15" s="34">
        <f t="shared" si="12"/>
        <v>0</v>
      </c>
      <c r="AD15" s="10">
        <f t="shared" si="1"/>
        <v>0</v>
      </c>
      <c r="AE15" s="72" t="e">
        <f t="shared" si="2"/>
        <v>#DIV/0!</v>
      </c>
      <c r="AF15" s="72" t="e">
        <f t="shared" si="3"/>
        <v>#DIV/0!</v>
      </c>
      <c r="AH15" s="70">
        <f t="shared" si="4"/>
        <v>0</v>
      </c>
      <c r="AI15" s="17">
        <f t="shared" si="5"/>
        <v>0</v>
      </c>
      <c r="AJ15" s="17">
        <f t="shared" si="6"/>
        <v>0</v>
      </c>
      <c r="AL15" s="102">
        <f t="shared" si="7"/>
        <v>0</v>
      </c>
      <c r="AM15" s="102">
        <f t="shared" si="8"/>
        <v>0</v>
      </c>
      <c r="AN15" s="46" t="e">
        <f t="shared" si="9"/>
        <v>#DIV/0!</v>
      </c>
      <c r="AO15" s="68">
        <v>1</v>
      </c>
      <c r="AQ15" s="18">
        <f t="shared" si="10"/>
        <v>0</v>
      </c>
      <c r="AR15" s="18">
        <f t="shared" si="11"/>
        <v>0</v>
      </c>
      <c r="AU15" s="40"/>
    </row>
    <row r="16" spans="1:47">
      <c r="A16">
        <v>6</v>
      </c>
      <c r="B16" s="11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13"/>
      <c r="N16" s="8">
        <v>6</v>
      </c>
      <c r="O16" s="112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13"/>
      <c r="AB16" s="10">
        <f t="shared" si="0"/>
        <v>0</v>
      </c>
      <c r="AC16" s="34">
        <f t="shared" si="12"/>
        <v>0</v>
      </c>
      <c r="AD16" s="10">
        <f t="shared" si="1"/>
        <v>0</v>
      </c>
      <c r="AE16" s="72" t="e">
        <f t="shared" si="2"/>
        <v>#DIV/0!</v>
      </c>
      <c r="AF16" s="72" t="e">
        <f t="shared" si="3"/>
        <v>#DIV/0!</v>
      </c>
      <c r="AH16" s="70">
        <f t="shared" si="4"/>
        <v>0</v>
      </c>
      <c r="AI16" s="17">
        <f t="shared" si="5"/>
        <v>0</v>
      </c>
      <c r="AJ16" s="17">
        <f t="shared" si="6"/>
        <v>0</v>
      </c>
      <c r="AL16" s="102">
        <f t="shared" si="7"/>
        <v>0</v>
      </c>
      <c r="AM16" s="102">
        <f t="shared" si="8"/>
        <v>0</v>
      </c>
      <c r="AN16" s="46" t="e">
        <f t="shared" si="9"/>
        <v>#DIV/0!</v>
      </c>
      <c r="AO16" s="68">
        <v>1</v>
      </c>
      <c r="AQ16" s="18">
        <f t="shared" si="10"/>
        <v>0</v>
      </c>
      <c r="AR16" s="18">
        <f t="shared" si="11"/>
        <v>0</v>
      </c>
      <c r="AU16" s="40"/>
    </row>
    <row r="17" spans="1:47">
      <c r="A17">
        <v>7</v>
      </c>
      <c r="B17" s="112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13"/>
      <c r="N17" s="8">
        <v>7</v>
      </c>
      <c r="O17" s="112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13"/>
      <c r="AB17" s="10">
        <f t="shared" si="0"/>
        <v>0</v>
      </c>
      <c r="AC17" s="34">
        <f t="shared" si="12"/>
        <v>0</v>
      </c>
      <c r="AD17" s="10">
        <f t="shared" si="1"/>
        <v>0</v>
      </c>
      <c r="AE17" s="72" t="e">
        <f t="shared" si="2"/>
        <v>#DIV/0!</v>
      </c>
      <c r="AF17" s="72" t="e">
        <f t="shared" si="3"/>
        <v>#DIV/0!</v>
      </c>
      <c r="AH17" s="70">
        <f t="shared" si="4"/>
        <v>0</v>
      </c>
      <c r="AI17" s="17">
        <f t="shared" si="5"/>
        <v>0</v>
      </c>
      <c r="AJ17" s="17">
        <f t="shared" si="6"/>
        <v>0</v>
      </c>
      <c r="AL17" s="102">
        <f t="shared" si="7"/>
        <v>0</v>
      </c>
      <c r="AM17" s="102">
        <f t="shared" si="8"/>
        <v>0</v>
      </c>
      <c r="AN17" s="46" t="e">
        <f t="shared" si="9"/>
        <v>#DIV/0!</v>
      </c>
      <c r="AO17" s="68">
        <v>1</v>
      </c>
      <c r="AQ17" s="18">
        <f t="shared" si="10"/>
        <v>0</v>
      </c>
      <c r="AR17" s="18">
        <f t="shared" si="11"/>
        <v>0</v>
      </c>
      <c r="AU17" s="40"/>
    </row>
    <row r="18" spans="1:47">
      <c r="A18">
        <v>8</v>
      </c>
      <c r="B18" s="11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13"/>
      <c r="N18" s="8">
        <v>8</v>
      </c>
      <c r="O18" s="112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113"/>
      <c r="AB18" s="10">
        <f t="shared" si="0"/>
        <v>0</v>
      </c>
      <c r="AC18" s="34">
        <f t="shared" si="12"/>
        <v>0</v>
      </c>
      <c r="AD18" s="10">
        <f t="shared" si="1"/>
        <v>0</v>
      </c>
      <c r="AE18" s="72" t="e">
        <f t="shared" si="2"/>
        <v>#DIV/0!</v>
      </c>
      <c r="AF18" s="72" t="e">
        <f t="shared" si="3"/>
        <v>#DIV/0!</v>
      </c>
      <c r="AH18" s="70">
        <f t="shared" si="4"/>
        <v>0</v>
      </c>
      <c r="AI18" s="17">
        <f t="shared" si="5"/>
        <v>0</v>
      </c>
      <c r="AJ18" s="17">
        <f t="shared" si="6"/>
        <v>0</v>
      </c>
      <c r="AL18" s="102">
        <f t="shared" si="7"/>
        <v>0</v>
      </c>
      <c r="AM18" s="102">
        <f t="shared" si="8"/>
        <v>0</v>
      </c>
      <c r="AN18" s="46" t="e">
        <f t="shared" si="9"/>
        <v>#DIV/0!</v>
      </c>
      <c r="AO18" s="68">
        <v>1</v>
      </c>
      <c r="AQ18" s="18">
        <f t="shared" si="10"/>
        <v>0</v>
      </c>
      <c r="AR18" s="18">
        <f t="shared" si="11"/>
        <v>0</v>
      </c>
      <c r="AU18" s="40"/>
    </row>
    <row r="19" spans="1:47">
      <c r="A19">
        <v>9</v>
      </c>
      <c r="B19" s="11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13"/>
      <c r="N19" s="8">
        <v>9</v>
      </c>
      <c r="O19" s="112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13"/>
      <c r="AB19" s="10">
        <f t="shared" si="0"/>
        <v>0</v>
      </c>
      <c r="AC19" s="34">
        <f t="shared" si="12"/>
        <v>0</v>
      </c>
      <c r="AD19" s="10">
        <f t="shared" si="1"/>
        <v>0</v>
      </c>
      <c r="AE19" s="72" t="e">
        <f t="shared" si="2"/>
        <v>#DIV/0!</v>
      </c>
      <c r="AF19" s="72" t="e">
        <f t="shared" si="3"/>
        <v>#DIV/0!</v>
      </c>
      <c r="AH19" s="70">
        <f t="shared" si="4"/>
        <v>0</v>
      </c>
      <c r="AI19" s="17">
        <f t="shared" si="5"/>
        <v>0</v>
      </c>
      <c r="AJ19" s="17">
        <f t="shared" si="6"/>
        <v>0</v>
      </c>
      <c r="AL19" s="102">
        <f t="shared" si="7"/>
        <v>0</v>
      </c>
      <c r="AM19" s="102">
        <f t="shared" si="8"/>
        <v>0</v>
      </c>
      <c r="AN19" s="46" t="e">
        <f t="shared" si="9"/>
        <v>#DIV/0!</v>
      </c>
      <c r="AO19" s="68">
        <v>1</v>
      </c>
      <c r="AQ19" s="18">
        <f t="shared" si="10"/>
        <v>0</v>
      </c>
      <c r="AR19" s="18">
        <f t="shared" si="11"/>
        <v>0</v>
      </c>
      <c r="AU19" s="40"/>
    </row>
    <row r="20" spans="1:47">
      <c r="A20">
        <v>10</v>
      </c>
      <c r="B20" s="11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13"/>
      <c r="N20" s="8">
        <v>10</v>
      </c>
      <c r="O20" s="112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113"/>
      <c r="AB20" s="10">
        <f t="shared" si="0"/>
        <v>0</v>
      </c>
      <c r="AC20" s="34">
        <f t="shared" si="12"/>
        <v>0</v>
      </c>
      <c r="AD20" s="10">
        <f t="shared" si="1"/>
        <v>0</v>
      </c>
      <c r="AE20" s="72" t="e">
        <f t="shared" si="2"/>
        <v>#DIV/0!</v>
      </c>
      <c r="AF20" s="72" t="e">
        <f t="shared" si="3"/>
        <v>#DIV/0!</v>
      </c>
      <c r="AH20" s="70">
        <f t="shared" si="4"/>
        <v>0</v>
      </c>
      <c r="AI20" s="17">
        <f t="shared" si="5"/>
        <v>0</v>
      </c>
      <c r="AJ20" s="17">
        <f t="shared" si="6"/>
        <v>0</v>
      </c>
      <c r="AL20" s="102">
        <f t="shared" si="7"/>
        <v>0</v>
      </c>
      <c r="AM20" s="102">
        <f t="shared" si="8"/>
        <v>0</v>
      </c>
      <c r="AN20" s="46" t="e">
        <f t="shared" si="9"/>
        <v>#DIV/0!</v>
      </c>
      <c r="AO20" s="68">
        <v>1</v>
      </c>
      <c r="AQ20" s="7">
        <f t="shared" si="10"/>
        <v>0</v>
      </c>
      <c r="AR20" s="7">
        <f t="shared" si="11"/>
        <v>0</v>
      </c>
      <c r="AU20" s="40"/>
    </row>
    <row r="21" spans="1:47" s="35" customFormat="1">
      <c r="A21" s="35">
        <v>11</v>
      </c>
      <c r="B21" s="1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3"/>
      <c r="N21" s="53">
        <v>11</v>
      </c>
      <c r="O21" s="112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13"/>
      <c r="AB21" s="34">
        <f t="shared" si="0"/>
        <v>0</v>
      </c>
      <c r="AC21" s="34">
        <f t="shared" si="12"/>
        <v>0</v>
      </c>
      <c r="AD21" s="34">
        <f t="shared" si="1"/>
        <v>0</v>
      </c>
      <c r="AE21" s="73" t="e">
        <f t="shared" si="2"/>
        <v>#DIV/0!</v>
      </c>
      <c r="AF21" s="73" t="e">
        <f t="shared" si="3"/>
        <v>#DIV/0!</v>
      </c>
      <c r="AH21" s="71">
        <f t="shared" si="4"/>
        <v>0</v>
      </c>
      <c r="AI21" s="54">
        <f t="shared" si="5"/>
        <v>0</v>
      </c>
      <c r="AJ21" s="54">
        <f t="shared" si="6"/>
        <v>0</v>
      </c>
      <c r="AL21" s="103">
        <f t="shared" si="7"/>
        <v>0</v>
      </c>
      <c r="AM21" s="103">
        <f t="shared" si="8"/>
        <v>0</v>
      </c>
      <c r="AN21" s="46" t="e">
        <f t="shared" si="9"/>
        <v>#DIV/0!</v>
      </c>
      <c r="AO21" s="69">
        <v>1</v>
      </c>
      <c r="AQ21" s="36">
        <f t="shared" si="10"/>
        <v>0</v>
      </c>
      <c r="AR21" s="36">
        <f t="shared" si="11"/>
        <v>0</v>
      </c>
      <c r="AU21" s="55"/>
    </row>
    <row r="22" spans="1:47" s="35" customFormat="1">
      <c r="A22" s="35">
        <v>12</v>
      </c>
      <c r="B22" s="11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13"/>
      <c r="N22" s="53">
        <v>12</v>
      </c>
      <c r="O22" s="112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113"/>
      <c r="AB22" s="34">
        <f t="shared" si="0"/>
        <v>0</v>
      </c>
      <c r="AC22" s="34">
        <f t="shared" si="12"/>
        <v>0</v>
      </c>
      <c r="AD22" s="34">
        <f t="shared" si="1"/>
        <v>0</v>
      </c>
      <c r="AE22" s="73" t="e">
        <f t="shared" si="2"/>
        <v>#DIV/0!</v>
      </c>
      <c r="AF22" s="73" t="e">
        <f t="shared" si="3"/>
        <v>#DIV/0!</v>
      </c>
      <c r="AH22" s="71">
        <f t="shared" si="4"/>
        <v>0</v>
      </c>
      <c r="AI22" s="54">
        <f t="shared" si="5"/>
        <v>0</v>
      </c>
      <c r="AJ22" s="54">
        <f t="shared" si="6"/>
        <v>0</v>
      </c>
      <c r="AL22" s="103">
        <f t="shared" si="7"/>
        <v>0</v>
      </c>
      <c r="AM22" s="103">
        <f t="shared" si="8"/>
        <v>0</v>
      </c>
      <c r="AN22" s="46" t="e">
        <f t="shared" si="9"/>
        <v>#DIV/0!</v>
      </c>
      <c r="AO22" s="69">
        <v>1</v>
      </c>
      <c r="AQ22" s="36">
        <f t="shared" si="10"/>
        <v>0</v>
      </c>
      <c r="AR22" s="36">
        <f t="shared" si="11"/>
        <v>0</v>
      </c>
      <c r="AU22" s="55"/>
    </row>
    <row r="23" spans="1:47" s="35" customFormat="1">
      <c r="A23" s="35">
        <v>13</v>
      </c>
      <c r="B23" s="1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13"/>
      <c r="N23" s="53">
        <v>13</v>
      </c>
      <c r="O23" s="112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13"/>
      <c r="AB23" s="34">
        <f t="shared" si="0"/>
        <v>0</v>
      </c>
      <c r="AC23" s="34">
        <f t="shared" si="12"/>
        <v>0</v>
      </c>
      <c r="AD23" s="34">
        <f t="shared" si="1"/>
        <v>0</v>
      </c>
      <c r="AE23" s="73" t="e">
        <f t="shared" si="2"/>
        <v>#DIV/0!</v>
      </c>
      <c r="AF23" s="73" t="e">
        <f t="shared" si="3"/>
        <v>#DIV/0!</v>
      </c>
      <c r="AH23" s="71">
        <f t="shared" si="4"/>
        <v>0</v>
      </c>
      <c r="AI23" s="54">
        <f t="shared" si="5"/>
        <v>0</v>
      </c>
      <c r="AJ23" s="54">
        <f t="shared" si="6"/>
        <v>0</v>
      </c>
      <c r="AL23" s="103">
        <f t="shared" si="7"/>
        <v>0</v>
      </c>
      <c r="AM23" s="103">
        <f t="shared" si="8"/>
        <v>0</v>
      </c>
      <c r="AN23" s="46" t="e">
        <f t="shared" si="9"/>
        <v>#DIV/0!</v>
      </c>
      <c r="AO23" s="69">
        <v>1</v>
      </c>
      <c r="AQ23" s="36">
        <f t="shared" si="10"/>
        <v>0</v>
      </c>
      <c r="AR23" s="36">
        <f t="shared" si="11"/>
        <v>0</v>
      </c>
      <c r="AU23" s="55"/>
    </row>
    <row r="24" spans="1:47" s="35" customFormat="1">
      <c r="A24" s="35">
        <v>14</v>
      </c>
      <c r="B24" s="11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13"/>
      <c r="N24" s="53">
        <v>14</v>
      </c>
      <c r="O24" s="11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113"/>
      <c r="AB24" s="34">
        <f t="shared" si="0"/>
        <v>0</v>
      </c>
      <c r="AC24" s="34">
        <f t="shared" si="12"/>
        <v>0</v>
      </c>
      <c r="AD24" s="34">
        <f t="shared" si="1"/>
        <v>0</v>
      </c>
      <c r="AE24" s="73" t="e">
        <f t="shared" si="2"/>
        <v>#DIV/0!</v>
      </c>
      <c r="AF24" s="73" t="e">
        <f t="shared" si="3"/>
        <v>#DIV/0!</v>
      </c>
      <c r="AH24" s="71">
        <f t="shared" si="4"/>
        <v>0</v>
      </c>
      <c r="AI24" s="54">
        <f t="shared" si="5"/>
        <v>0</v>
      </c>
      <c r="AJ24" s="54">
        <f t="shared" si="6"/>
        <v>0</v>
      </c>
      <c r="AL24" s="103">
        <f t="shared" si="7"/>
        <v>0</v>
      </c>
      <c r="AM24" s="103">
        <f t="shared" si="8"/>
        <v>0</v>
      </c>
      <c r="AN24" s="46" t="e">
        <f t="shared" si="9"/>
        <v>#DIV/0!</v>
      </c>
      <c r="AO24" s="69">
        <v>1</v>
      </c>
      <c r="AQ24" s="36">
        <f t="shared" si="10"/>
        <v>0</v>
      </c>
      <c r="AR24" s="36">
        <f t="shared" si="11"/>
        <v>0</v>
      </c>
      <c r="AU24" s="55"/>
    </row>
    <row r="25" spans="1:47" s="35" customFormat="1">
      <c r="A25" s="35">
        <v>15</v>
      </c>
      <c r="B25" s="11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13"/>
      <c r="N25" s="53">
        <v>15</v>
      </c>
      <c r="O25" s="11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13"/>
      <c r="AB25" s="34">
        <f t="shared" si="0"/>
        <v>0</v>
      </c>
      <c r="AC25" s="34">
        <f t="shared" si="12"/>
        <v>0</v>
      </c>
      <c r="AD25" s="34">
        <f t="shared" si="1"/>
        <v>0</v>
      </c>
      <c r="AE25" s="73" t="e">
        <f t="shared" si="2"/>
        <v>#DIV/0!</v>
      </c>
      <c r="AF25" s="73" t="e">
        <f t="shared" si="3"/>
        <v>#DIV/0!</v>
      </c>
      <c r="AH25" s="71">
        <f t="shared" si="4"/>
        <v>0</v>
      </c>
      <c r="AI25" s="54">
        <f t="shared" si="5"/>
        <v>0</v>
      </c>
      <c r="AJ25" s="54">
        <f t="shared" si="6"/>
        <v>0</v>
      </c>
      <c r="AL25" s="103">
        <f t="shared" si="7"/>
        <v>0</v>
      </c>
      <c r="AM25" s="103">
        <f t="shared" si="8"/>
        <v>0</v>
      </c>
      <c r="AN25" s="46" t="e">
        <f t="shared" si="9"/>
        <v>#DIV/0!</v>
      </c>
      <c r="AO25" s="69">
        <v>1</v>
      </c>
      <c r="AQ25" s="36">
        <f t="shared" si="10"/>
        <v>0</v>
      </c>
      <c r="AR25" s="36">
        <f t="shared" si="11"/>
        <v>0</v>
      </c>
      <c r="AU25" s="55"/>
    </row>
    <row r="26" spans="1:47" s="35" customFormat="1">
      <c r="A26" s="35">
        <v>16</v>
      </c>
      <c r="B26" s="11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113"/>
      <c r="N26" s="53">
        <v>16</v>
      </c>
      <c r="O26" s="112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13"/>
      <c r="AB26" s="34">
        <f t="shared" si="0"/>
        <v>0</v>
      </c>
      <c r="AC26" s="34">
        <f t="shared" si="12"/>
        <v>0</v>
      </c>
      <c r="AD26" s="34">
        <f t="shared" si="1"/>
        <v>0</v>
      </c>
      <c r="AE26" s="73" t="e">
        <f t="shared" si="2"/>
        <v>#DIV/0!</v>
      </c>
      <c r="AF26" s="73" t="e">
        <f t="shared" si="3"/>
        <v>#DIV/0!</v>
      </c>
      <c r="AH26" s="71">
        <f t="shared" si="4"/>
        <v>0</v>
      </c>
      <c r="AI26" s="54">
        <f t="shared" si="5"/>
        <v>0</v>
      </c>
      <c r="AJ26" s="54">
        <f t="shared" si="6"/>
        <v>0</v>
      </c>
      <c r="AL26" s="103">
        <f t="shared" si="7"/>
        <v>0</v>
      </c>
      <c r="AM26" s="103">
        <f t="shared" si="8"/>
        <v>0</v>
      </c>
      <c r="AN26" s="46" t="e">
        <f t="shared" si="9"/>
        <v>#DIV/0!</v>
      </c>
      <c r="AO26" s="69">
        <v>1</v>
      </c>
      <c r="AQ26" s="36">
        <f t="shared" si="10"/>
        <v>0</v>
      </c>
      <c r="AR26" s="36">
        <f t="shared" si="11"/>
        <v>0</v>
      </c>
      <c r="AU26" s="55"/>
    </row>
    <row r="27" spans="1:47" s="35" customFormat="1">
      <c r="A27" s="35">
        <v>17</v>
      </c>
      <c r="B27" s="112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13"/>
      <c r="N27" s="53">
        <v>17</v>
      </c>
      <c r="O27" s="112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13"/>
      <c r="AB27" s="34">
        <f t="shared" si="0"/>
        <v>0</v>
      </c>
      <c r="AC27" s="34">
        <f t="shared" si="12"/>
        <v>0</v>
      </c>
      <c r="AD27" s="34">
        <f t="shared" si="1"/>
        <v>0</v>
      </c>
      <c r="AE27" s="73" t="e">
        <f t="shared" si="2"/>
        <v>#DIV/0!</v>
      </c>
      <c r="AF27" s="73" t="e">
        <f t="shared" si="3"/>
        <v>#DIV/0!</v>
      </c>
      <c r="AH27" s="71">
        <f t="shared" si="4"/>
        <v>0</v>
      </c>
      <c r="AI27" s="54">
        <f t="shared" si="5"/>
        <v>0</v>
      </c>
      <c r="AJ27" s="54">
        <f t="shared" si="6"/>
        <v>0</v>
      </c>
      <c r="AL27" s="103">
        <f t="shared" si="7"/>
        <v>0</v>
      </c>
      <c r="AM27" s="103">
        <f t="shared" si="8"/>
        <v>0</v>
      </c>
      <c r="AN27" s="46" t="e">
        <f t="shared" si="9"/>
        <v>#DIV/0!</v>
      </c>
      <c r="AO27" s="69">
        <v>1</v>
      </c>
      <c r="AQ27" s="36">
        <f t="shared" si="10"/>
        <v>0</v>
      </c>
      <c r="AR27" s="36">
        <f t="shared" si="11"/>
        <v>0</v>
      </c>
      <c r="AU27" s="55"/>
    </row>
    <row r="28" spans="1:47">
      <c r="A28">
        <v>18</v>
      </c>
      <c r="B28" s="11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13"/>
      <c r="N28" s="8">
        <v>18</v>
      </c>
      <c r="O28" s="112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13"/>
      <c r="AB28" s="10">
        <f t="shared" si="0"/>
        <v>0</v>
      </c>
      <c r="AC28" s="34">
        <f t="shared" si="12"/>
        <v>0</v>
      </c>
      <c r="AD28" s="10">
        <f t="shared" si="1"/>
        <v>0</v>
      </c>
      <c r="AE28" s="72" t="e">
        <f t="shared" si="2"/>
        <v>#DIV/0!</v>
      </c>
      <c r="AF28" s="72" t="e">
        <f t="shared" si="3"/>
        <v>#DIV/0!</v>
      </c>
      <c r="AH28" s="70">
        <f t="shared" si="4"/>
        <v>0</v>
      </c>
      <c r="AI28" s="17">
        <f t="shared" si="5"/>
        <v>0</v>
      </c>
      <c r="AJ28" s="17">
        <f t="shared" si="6"/>
        <v>0</v>
      </c>
      <c r="AL28" s="102">
        <f t="shared" si="7"/>
        <v>0</v>
      </c>
      <c r="AM28" s="102">
        <f t="shared" si="8"/>
        <v>0</v>
      </c>
      <c r="AN28" s="46" t="e">
        <f t="shared" si="9"/>
        <v>#DIV/0!</v>
      </c>
      <c r="AO28" s="68">
        <v>1</v>
      </c>
      <c r="AQ28" s="7">
        <f t="shared" si="10"/>
        <v>0</v>
      </c>
      <c r="AR28" s="7">
        <f t="shared" si="11"/>
        <v>0</v>
      </c>
      <c r="AU28" s="40"/>
    </row>
    <row r="29" spans="1:47">
      <c r="A29">
        <v>19</v>
      </c>
      <c r="B29" s="11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13"/>
      <c r="N29" s="8">
        <v>19</v>
      </c>
      <c r="O29" s="11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13"/>
      <c r="AB29" s="10">
        <f t="shared" si="0"/>
        <v>0</v>
      </c>
      <c r="AC29" s="34">
        <f t="shared" si="12"/>
        <v>0</v>
      </c>
      <c r="AD29" s="10">
        <f t="shared" si="1"/>
        <v>0</v>
      </c>
      <c r="AE29" s="72" t="e">
        <f t="shared" si="2"/>
        <v>#DIV/0!</v>
      </c>
      <c r="AF29" s="72" t="e">
        <f t="shared" si="3"/>
        <v>#DIV/0!</v>
      </c>
      <c r="AH29" s="70">
        <f t="shared" si="4"/>
        <v>0</v>
      </c>
      <c r="AI29" s="17">
        <f t="shared" si="5"/>
        <v>0</v>
      </c>
      <c r="AJ29" s="17">
        <f t="shared" si="6"/>
        <v>0</v>
      </c>
      <c r="AL29" s="102">
        <f t="shared" si="7"/>
        <v>0</v>
      </c>
      <c r="AM29" s="102">
        <f t="shared" si="8"/>
        <v>0</v>
      </c>
      <c r="AN29" s="46" t="e">
        <f t="shared" si="9"/>
        <v>#DIV/0!</v>
      </c>
      <c r="AO29" s="68">
        <v>1</v>
      </c>
      <c r="AQ29" s="7">
        <f t="shared" si="10"/>
        <v>0</v>
      </c>
      <c r="AR29" s="7">
        <f t="shared" si="11"/>
        <v>0</v>
      </c>
      <c r="AU29" s="40"/>
    </row>
    <row r="30" spans="1:47">
      <c r="A30">
        <v>20</v>
      </c>
      <c r="B30" s="11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13"/>
      <c r="N30" s="8">
        <v>20</v>
      </c>
      <c r="O30" s="112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13"/>
      <c r="AB30" s="10">
        <f t="shared" si="0"/>
        <v>0</v>
      </c>
      <c r="AC30" s="34">
        <f t="shared" si="12"/>
        <v>0</v>
      </c>
      <c r="AD30" s="10">
        <f t="shared" si="1"/>
        <v>0</v>
      </c>
      <c r="AE30" s="72" t="e">
        <f t="shared" si="2"/>
        <v>#DIV/0!</v>
      </c>
      <c r="AF30" s="72" t="e">
        <f t="shared" si="3"/>
        <v>#DIV/0!</v>
      </c>
      <c r="AH30" s="70">
        <f t="shared" si="4"/>
        <v>0</v>
      </c>
      <c r="AI30" s="17">
        <f t="shared" si="5"/>
        <v>0</v>
      </c>
      <c r="AJ30" s="17">
        <f t="shared" si="6"/>
        <v>0</v>
      </c>
      <c r="AL30" s="102">
        <f t="shared" si="7"/>
        <v>0</v>
      </c>
      <c r="AM30" s="102">
        <f t="shared" si="8"/>
        <v>0</v>
      </c>
      <c r="AN30" s="46" t="e">
        <f t="shared" si="9"/>
        <v>#DIV/0!</v>
      </c>
      <c r="AO30" s="68">
        <v>1</v>
      </c>
      <c r="AQ30" s="7">
        <f t="shared" si="10"/>
        <v>0</v>
      </c>
      <c r="AR30" s="7">
        <f t="shared" si="11"/>
        <v>0</v>
      </c>
    </row>
    <row r="31" spans="1:47">
      <c r="A31">
        <v>21</v>
      </c>
      <c r="B31" s="11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13"/>
      <c r="N31" s="8">
        <v>21</v>
      </c>
      <c r="O31" s="112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13"/>
      <c r="AB31" s="10">
        <f t="shared" si="0"/>
        <v>0</v>
      </c>
      <c r="AC31" s="34">
        <f t="shared" si="12"/>
        <v>0</v>
      </c>
      <c r="AD31" s="10">
        <f t="shared" si="1"/>
        <v>0</v>
      </c>
      <c r="AE31" s="72" t="e">
        <f t="shared" si="2"/>
        <v>#DIV/0!</v>
      </c>
      <c r="AF31" s="72" t="e">
        <f t="shared" si="3"/>
        <v>#DIV/0!</v>
      </c>
      <c r="AH31" s="70">
        <f t="shared" si="4"/>
        <v>0</v>
      </c>
      <c r="AI31" s="17">
        <f t="shared" si="5"/>
        <v>0</v>
      </c>
      <c r="AJ31" s="17">
        <f t="shared" si="6"/>
        <v>0</v>
      </c>
      <c r="AL31" s="102">
        <f t="shared" si="7"/>
        <v>0</v>
      </c>
      <c r="AM31" s="102">
        <f t="shared" si="8"/>
        <v>0</v>
      </c>
      <c r="AN31" s="46" t="e">
        <f t="shared" si="9"/>
        <v>#DIV/0!</v>
      </c>
      <c r="AO31" s="68">
        <v>1</v>
      </c>
      <c r="AQ31" s="7">
        <f t="shared" si="10"/>
        <v>0</v>
      </c>
      <c r="AR31" s="7">
        <f t="shared" si="11"/>
        <v>0</v>
      </c>
    </row>
    <row r="32" spans="1:47">
      <c r="A32">
        <v>22</v>
      </c>
      <c r="B32" s="11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13"/>
      <c r="N32" s="8">
        <v>22</v>
      </c>
      <c r="O32" s="112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113"/>
      <c r="AB32" s="10">
        <f t="shared" si="0"/>
        <v>0</v>
      </c>
      <c r="AC32" s="34">
        <f t="shared" si="12"/>
        <v>0</v>
      </c>
      <c r="AD32" s="10">
        <f t="shared" si="1"/>
        <v>0</v>
      </c>
      <c r="AE32" s="72" t="e">
        <f t="shared" si="2"/>
        <v>#DIV/0!</v>
      </c>
      <c r="AF32" s="72" t="e">
        <f t="shared" si="3"/>
        <v>#DIV/0!</v>
      </c>
      <c r="AH32" s="70">
        <f t="shared" si="4"/>
        <v>0</v>
      </c>
      <c r="AI32" s="17">
        <f t="shared" si="5"/>
        <v>0</v>
      </c>
      <c r="AJ32" s="17">
        <f t="shared" si="6"/>
        <v>0</v>
      </c>
      <c r="AL32" s="102">
        <f t="shared" si="7"/>
        <v>0</v>
      </c>
      <c r="AM32" s="102">
        <f t="shared" si="8"/>
        <v>0</v>
      </c>
      <c r="AN32" s="46" t="e">
        <f t="shared" si="9"/>
        <v>#DIV/0!</v>
      </c>
      <c r="AO32" s="68">
        <v>1</v>
      </c>
      <c r="AQ32" s="7">
        <f t="shared" si="10"/>
        <v>0</v>
      </c>
      <c r="AR32" s="7">
        <f t="shared" si="11"/>
        <v>0</v>
      </c>
    </row>
    <row r="33" spans="1:44">
      <c r="A33">
        <v>23</v>
      </c>
      <c r="B33" s="11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3"/>
      <c r="N33" s="8">
        <v>23</v>
      </c>
      <c r="O33" s="112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113"/>
      <c r="AB33" s="10">
        <f t="shared" si="0"/>
        <v>0</v>
      </c>
      <c r="AC33" s="34">
        <f t="shared" si="12"/>
        <v>0</v>
      </c>
      <c r="AD33" s="10">
        <f t="shared" si="1"/>
        <v>0</v>
      </c>
      <c r="AE33" s="72" t="e">
        <f t="shared" si="2"/>
        <v>#DIV/0!</v>
      </c>
      <c r="AF33" s="72" t="e">
        <f t="shared" si="3"/>
        <v>#DIV/0!</v>
      </c>
      <c r="AH33" s="70">
        <f t="shared" si="4"/>
        <v>0</v>
      </c>
      <c r="AI33" s="17">
        <f t="shared" si="5"/>
        <v>0</v>
      </c>
      <c r="AJ33" s="17">
        <f t="shared" si="6"/>
        <v>0</v>
      </c>
      <c r="AL33" s="102">
        <f t="shared" si="7"/>
        <v>0</v>
      </c>
      <c r="AM33" s="102">
        <f t="shared" si="8"/>
        <v>0</v>
      </c>
      <c r="AN33" s="46" t="e">
        <f t="shared" si="9"/>
        <v>#DIV/0!</v>
      </c>
      <c r="AO33" s="68">
        <v>1</v>
      </c>
      <c r="AQ33" s="7">
        <f t="shared" si="10"/>
        <v>0</v>
      </c>
      <c r="AR33" s="7">
        <f t="shared" si="11"/>
        <v>0</v>
      </c>
    </row>
    <row r="34" spans="1:44">
      <c r="A34">
        <v>24</v>
      </c>
      <c r="B34" s="11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13"/>
      <c r="N34" s="8">
        <v>24</v>
      </c>
      <c r="O34" s="112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113"/>
      <c r="AB34" s="10">
        <f t="shared" si="0"/>
        <v>0</v>
      </c>
      <c r="AC34" s="34">
        <f t="shared" si="12"/>
        <v>0</v>
      </c>
      <c r="AD34" s="10">
        <f t="shared" si="1"/>
        <v>0</v>
      </c>
      <c r="AE34" s="72" t="e">
        <f t="shared" si="2"/>
        <v>#DIV/0!</v>
      </c>
      <c r="AF34" s="72" t="e">
        <f t="shared" si="3"/>
        <v>#DIV/0!</v>
      </c>
      <c r="AH34" s="70">
        <f t="shared" si="4"/>
        <v>0</v>
      </c>
      <c r="AI34" s="17">
        <f t="shared" si="5"/>
        <v>0</v>
      </c>
      <c r="AJ34" s="17">
        <f t="shared" si="6"/>
        <v>0</v>
      </c>
      <c r="AL34" s="102">
        <f t="shared" si="7"/>
        <v>0</v>
      </c>
      <c r="AM34" s="102">
        <f t="shared" si="8"/>
        <v>0</v>
      </c>
      <c r="AN34" s="46" t="e">
        <f t="shared" si="9"/>
        <v>#DIV/0!</v>
      </c>
      <c r="AO34" s="68">
        <v>1</v>
      </c>
      <c r="AQ34" s="7">
        <f t="shared" si="10"/>
        <v>0</v>
      </c>
      <c r="AR34" s="7">
        <f t="shared" si="11"/>
        <v>0</v>
      </c>
    </row>
    <row r="35" spans="1:44">
      <c r="A35">
        <v>25</v>
      </c>
      <c r="B35" s="112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13"/>
      <c r="N35" s="8">
        <v>25</v>
      </c>
      <c r="O35" s="112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113"/>
      <c r="AB35" s="10">
        <f t="shared" si="0"/>
        <v>0</v>
      </c>
      <c r="AC35" s="34">
        <f t="shared" si="12"/>
        <v>0</v>
      </c>
      <c r="AD35" s="10">
        <f t="shared" si="1"/>
        <v>0</v>
      </c>
      <c r="AE35" s="72" t="e">
        <f t="shared" si="2"/>
        <v>#DIV/0!</v>
      </c>
      <c r="AF35" s="72" t="e">
        <f t="shared" si="3"/>
        <v>#DIV/0!</v>
      </c>
      <c r="AH35" s="70">
        <f t="shared" si="4"/>
        <v>0</v>
      </c>
      <c r="AI35" s="17">
        <f t="shared" si="5"/>
        <v>0</v>
      </c>
      <c r="AJ35" s="17">
        <f t="shared" si="6"/>
        <v>0</v>
      </c>
      <c r="AL35" s="102">
        <f t="shared" si="7"/>
        <v>0</v>
      </c>
      <c r="AM35" s="102">
        <f t="shared" si="8"/>
        <v>0</v>
      </c>
      <c r="AN35" s="46" t="e">
        <f t="shared" si="9"/>
        <v>#DIV/0!</v>
      </c>
      <c r="AO35" s="68">
        <v>1</v>
      </c>
      <c r="AQ35" s="7">
        <f t="shared" si="10"/>
        <v>0</v>
      </c>
      <c r="AR35" s="7">
        <f t="shared" si="11"/>
        <v>0</v>
      </c>
    </row>
    <row r="36" spans="1:44">
      <c r="A36">
        <v>26</v>
      </c>
      <c r="B36" s="11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13"/>
      <c r="N36" s="8">
        <v>26</v>
      </c>
      <c r="O36" s="112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113"/>
      <c r="AB36" s="10">
        <f t="shared" si="0"/>
        <v>0</v>
      </c>
      <c r="AC36" s="34">
        <f t="shared" si="12"/>
        <v>0</v>
      </c>
      <c r="AD36" s="10">
        <f t="shared" si="1"/>
        <v>0</v>
      </c>
      <c r="AE36" s="72" t="e">
        <f t="shared" si="2"/>
        <v>#DIV/0!</v>
      </c>
      <c r="AF36" s="72" t="e">
        <f t="shared" si="3"/>
        <v>#DIV/0!</v>
      </c>
      <c r="AH36" s="70">
        <f t="shared" si="4"/>
        <v>0</v>
      </c>
      <c r="AI36" s="17">
        <f t="shared" si="5"/>
        <v>0</v>
      </c>
      <c r="AJ36" s="17">
        <f t="shared" si="6"/>
        <v>0</v>
      </c>
      <c r="AL36" s="102">
        <f t="shared" si="7"/>
        <v>0</v>
      </c>
      <c r="AM36" s="102">
        <f t="shared" si="8"/>
        <v>0</v>
      </c>
      <c r="AN36" s="46" t="e">
        <f t="shared" si="9"/>
        <v>#DIV/0!</v>
      </c>
      <c r="AO36" s="68">
        <v>1</v>
      </c>
      <c r="AQ36" s="7">
        <f t="shared" si="10"/>
        <v>0</v>
      </c>
      <c r="AR36" s="7">
        <f t="shared" si="11"/>
        <v>0</v>
      </c>
    </row>
    <row r="37" spans="1:44">
      <c r="A37">
        <v>27</v>
      </c>
      <c r="B37" s="11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13"/>
      <c r="N37" s="8">
        <v>27</v>
      </c>
      <c r="O37" s="112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13"/>
      <c r="AB37" s="10">
        <f t="shared" si="0"/>
        <v>0</v>
      </c>
      <c r="AC37" s="34">
        <f t="shared" si="12"/>
        <v>0</v>
      </c>
      <c r="AD37" s="10">
        <f t="shared" si="1"/>
        <v>0</v>
      </c>
      <c r="AE37" s="72" t="e">
        <f t="shared" si="2"/>
        <v>#DIV/0!</v>
      </c>
      <c r="AF37" s="72" t="e">
        <f t="shared" si="3"/>
        <v>#DIV/0!</v>
      </c>
      <c r="AH37" s="70">
        <f t="shared" si="4"/>
        <v>0</v>
      </c>
      <c r="AI37" s="17">
        <f t="shared" si="5"/>
        <v>0</v>
      </c>
      <c r="AJ37" s="17">
        <f t="shared" si="6"/>
        <v>0</v>
      </c>
      <c r="AL37" s="102">
        <f t="shared" si="7"/>
        <v>0</v>
      </c>
      <c r="AM37" s="102">
        <f t="shared" si="8"/>
        <v>0</v>
      </c>
      <c r="AN37" s="46" t="e">
        <f t="shared" si="9"/>
        <v>#DIV/0!</v>
      </c>
      <c r="AO37" s="68">
        <v>1</v>
      </c>
      <c r="AQ37" s="7">
        <f t="shared" si="10"/>
        <v>0</v>
      </c>
      <c r="AR37" s="7">
        <f t="shared" si="11"/>
        <v>0</v>
      </c>
    </row>
    <row r="38" spans="1:44">
      <c r="A38">
        <v>28</v>
      </c>
      <c r="B38" s="112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13"/>
      <c r="N38" s="8">
        <v>28</v>
      </c>
      <c r="O38" s="112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13"/>
      <c r="AB38" s="10">
        <f t="shared" si="0"/>
        <v>0</v>
      </c>
      <c r="AC38" s="34">
        <f t="shared" si="12"/>
        <v>0</v>
      </c>
      <c r="AD38" s="10">
        <f t="shared" si="1"/>
        <v>0</v>
      </c>
      <c r="AE38" s="72" t="e">
        <f t="shared" si="2"/>
        <v>#DIV/0!</v>
      </c>
      <c r="AF38" s="72" t="e">
        <f t="shared" si="3"/>
        <v>#DIV/0!</v>
      </c>
      <c r="AH38" s="70">
        <f t="shared" si="4"/>
        <v>0</v>
      </c>
      <c r="AI38" s="17">
        <f t="shared" si="5"/>
        <v>0</v>
      </c>
      <c r="AJ38" s="17">
        <f t="shared" si="6"/>
        <v>0</v>
      </c>
      <c r="AL38" s="102">
        <f t="shared" si="7"/>
        <v>0</v>
      </c>
      <c r="AM38" s="102">
        <f t="shared" si="8"/>
        <v>0</v>
      </c>
      <c r="AN38" s="46" t="e">
        <f t="shared" si="9"/>
        <v>#DIV/0!</v>
      </c>
      <c r="AO38" s="68">
        <v>1</v>
      </c>
      <c r="AQ38" s="7">
        <f t="shared" si="10"/>
        <v>0</v>
      </c>
      <c r="AR38" s="7">
        <f t="shared" si="11"/>
        <v>0</v>
      </c>
    </row>
    <row r="39" spans="1:44">
      <c r="A39">
        <v>29</v>
      </c>
      <c r="B39" s="11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13"/>
      <c r="N39" s="8">
        <v>29</v>
      </c>
      <c r="O39" s="112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13"/>
      <c r="AB39" s="10">
        <f t="shared" si="0"/>
        <v>0</v>
      </c>
      <c r="AC39" s="34">
        <f t="shared" si="12"/>
        <v>0</v>
      </c>
      <c r="AD39" s="10">
        <f t="shared" si="1"/>
        <v>0</v>
      </c>
      <c r="AE39" s="72" t="e">
        <f t="shared" si="2"/>
        <v>#DIV/0!</v>
      </c>
      <c r="AF39" s="72" t="e">
        <f t="shared" si="3"/>
        <v>#DIV/0!</v>
      </c>
      <c r="AH39" s="70">
        <f t="shared" si="4"/>
        <v>0</v>
      </c>
      <c r="AI39" s="17">
        <f t="shared" si="5"/>
        <v>0</v>
      </c>
      <c r="AJ39" s="17">
        <f t="shared" si="6"/>
        <v>0</v>
      </c>
      <c r="AL39" s="102">
        <f t="shared" si="7"/>
        <v>0</v>
      </c>
      <c r="AM39" s="102">
        <f t="shared" si="8"/>
        <v>0</v>
      </c>
      <c r="AN39" s="46" t="e">
        <f t="shared" si="9"/>
        <v>#DIV/0!</v>
      </c>
      <c r="AO39" s="68">
        <v>1</v>
      </c>
      <c r="AQ39" s="7">
        <f t="shared" si="10"/>
        <v>0</v>
      </c>
      <c r="AR39" s="7">
        <f t="shared" si="11"/>
        <v>0</v>
      </c>
    </row>
    <row r="40" spans="1:44">
      <c r="A40">
        <v>30</v>
      </c>
      <c r="B40" s="11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13"/>
      <c r="N40" s="8">
        <v>30</v>
      </c>
      <c r="O40" s="112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13"/>
      <c r="AB40" s="10">
        <f t="shared" si="0"/>
        <v>0</v>
      </c>
      <c r="AC40" s="34">
        <f t="shared" si="12"/>
        <v>0</v>
      </c>
      <c r="AD40" s="10">
        <f t="shared" si="1"/>
        <v>0</v>
      </c>
      <c r="AE40" s="72" t="e">
        <f t="shared" si="2"/>
        <v>#DIV/0!</v>
      </c>
      <c r="AF40" s="72" t="e">
        <f t="shared" si="3"/>
        <v>#DIV/0!</v>
      </c>
      <c r="AH40" s="70">
        <f t="shared" si="4"/>
        <v>0</v>
      </c>
      <c r="AI40" s="17">
        <f t="shared" si="5"/>
        <v>0</v>
      </c>
      <c r="AJ40" s="17">
        <f t="shared" si="6"/>
        <v>0</v>
      </c>
      <c r="AL40" s="102">
        <f t="shared" si="7"/>
        <v>0</v>
      </c>
      <c r="AM40" s="102">
        <f t="shared" si="8"/>
        <v>0</v>
      </c>
      <c r="AN40" s="46" t="e">
        <f t="shared" si="9"/>
        <v>#DIV/0!</v>
      </c>
      <c r="AO40" s="68">
        <v>1</v>
      </c>
      <c r="AQ40" s="7">
        <f t="shared" si="10"/>
        <v>0</v>
      </c>
      <c r="AR40" s="7">
        <f t="shared" si="11"/>
        <v>0</v>
      </c>
    </row>
    <row r="41" spans="1:44" s="35" customFormat="1">
      <c r="A41" s="35">
        <v>31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98">
        <v>31</v>
      </c>
      <c r="O41" s="114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6"/>
      <c r="AB41" s="34">
        <f t="shared" si="0"/>
        <v>0</v>
      </c>
      <c r="AC41" s="34">
        <f t="shared" si="12"/>
        <v>0</v>
      </c>
      <c r="AD41" s="34">
        <f t="shared" si="1"/>
        <v>0</v>
      </c>
      <c r="AE41" s="73" t="e">
        <f t="shared" si="2"/>
        <v>#DIV/0!</v>
      </c>
      <c r="AF41" s="73" t="e">
        <f t="shared" si="3"/>
        <v>#DIV/0!</v>
      </c>
      <c r="AH41" s="71">
        <f t="shared" si="4"/>
        <v>0</v>
      </c>
      <c r="AI41" s="54">
        <f t="shared" si="5"/>
        <v>0</v>
      </c>
      <c r="AJ41" s="54">
        <f t="shared" si="6"/>
        <v>0</v>
      </c>
      <c r="AL41" s="103">
        <f t="shared" si="7"/>
        <v>0</v>
      </c>
      <c r="AM41" s="103">
        <f t="shared" si="8"/>
        <v>0</v>
      </c>
      <c r="AN41" s="46" t="e">
        <f t="shared" si="9"/>
        <v>#DIV/0!</v>
      </c>
      <c r="AO41" s="69">
        <v>1</v>
      </c>
      <c r="AQ41" s="36">
        <f t="shared" si="10"/>
        <v>0</v>
      </c>
      <c r="AR41" s="36">
        <f t="shared" si="11"/>
        <v>0</v>
      </c>
    </row>
    <row r="42" spans="1:44">
      <c r="A42" s="35"/>
      <c r="B42" s="30"/>
      <c r="C42" s="30"/>
      <c r="D42" s="76"/>
      <c r="E42" s="52"/>
      <c r="F42" s="52"/>
      <c r="G42" s="59"/>
      <c r="H42" s="59"/>
      <c r="I42" s="59"/>
      <c r="J42" s="76"/>
      <c r="K42" s="59"/>
      <c r="L42" s="59"/>
      <c r="M42" s="59"/>
      <c r="N42" s="98"/>
      <c r="O42" s="30"/>
      <c r="P42" s="30"/>
      <c r="Q42" s="59"/>
      <c r="R42" s="30"/>
      <c r="S42" s="59"/>
      <c r="T42" s="76"/>
      <c r="U42" s="30"/>
      <c r="V42" s="30"/>
      <c r="W42" s="76"/>
      <c r="X42" s="76"/>
      <c r="Y42" s="76"/>
      <c r="Z42" s="30"/>
      <c r="AH42" s="15"/>
      <c r="AI42" s="17"/>
      <c r="AJ42" s="17"/>
      <c r="AL42" s="104"/>
      <c r="AM42" s="104"/>
      <c r="AN42" s="46"/>
    </row>
    <row r="43" spans="1:44">
      <c r="A43" s="35"/>
      <c r="B43" s="30"/>
      <c r="C43" s="30"/>
      <c r="D43" s="76"/>
      <c r="E43" s="52"/>
      <c r="F43" s="52"/>
      <c r="G43" s="59"/>
      <c r="H43" s="59"/>
      <c r="I43" s="59"/>
      <c r="J43" s="76"/>
      <c r="K43" s="59"/>
      <c r="L43" s="59"/>
      <c r="M43" s="59"/>
      <c r="N43" s="98"/>
      <c r="O43" s="30"/>
      <c r="P43" s="30"/>
      <c r="Q43" s="59"/>
      <c r="R43" s="30"/>
      <c r="S43" s="59"/>
      <c r="T43" s="76"/>
      <c r="U43" s="30"/>
      <c r="V43" s="30"/>
      <c r="W43" s="76"/>
      <c r="X43" s="76"/>
      <c r="Y43" s="76"/>
      <c r="Z43" s="30"/>
      <c r="AA43" s="60" t="s">
        <v>21</v>
      </c>
      <c r="AB43" s="10">
        <f>SUM(AB11:AB41)</f>
        <v>0</v>
      </c>
      <c r="AC43" s="10">
        <f t="shared" ref="AC43:AD43" si="13">SUM(AC11:AC41)</f>
        <v>0</v>
      </c>
      <c r="AD43" s="10">
        <f t="shared" si="13"/>
        <v>0</v>
      </c>
      <c r="AH43" s="15"/>
      <c r="AI43" s="17"/>
      <c r="AJ43" s="17"/>
      <c r="AK43" s="4" t="s">
        <v>70</v>
      </c>
      <c r="AL43" s="102">
        <f>AVERAGE(AL11:AL41)</f>
        <v>0</v>
      </c>
      <c r="AM43" s="102">
        <f>AVERAGE(AM11:AM41)</f>
        <v>0</v>
      </c>
      <c r="AN43" s="46" t="e">
        <f>AVERAGE(AN11:AN41)</f>
        <v>#DIV/0!</v>
      </c>
    </row>
    <row r="44" spans="1:44">
      <c r="B44" s="7"/>
      <c r="C44" s="7"/>
    </row>
    <row r="45" spans="1:44">
      <c r="A45" s="16" t="s">
        <v>21</v>
      </c>
      <c r="B45" s="64">
        <f>SUM(B11:B41)</f>
        <v>0</v>
      </c>
      <c r="C45" s="64">
        <f t="shared" ref="C45:M45" si="14">SUM(C11:C41)</f>
        <v>0</v>
      </c>
      <c r="D45" s="64">
        <f t="shared" si="14"/>
        <v>0</v>
      </c>
      <c r="E45" s="64">
        <f t="shared" si="14"/>
        <v>0</v>
      </c>
      <c r="F45" s="64">
        <f t="shared" si="14"/>
        <v>0</v>
      </c>
      <c r="G45" s="64">
        <f t="shared" si="14"/>
        <v>0</v>
      </c>
      <c r="H45" s="64">
        <f t="shared" si="14"/>
        <v>0</v>
      </c>
      <c r="I45" s="64">
        <f t="shared" si="14"/>
        <v>0</v>
      </c>
      <c r="J45" s="64">
        <f t="shared" si="14"/>
        <v>0</v>
      </c>
      <c r="K45" s="64">
        <f t="shared" si="14"/>
        <v>0</v>
      </c>
      <c r="L45" s="64">
        <f t="shared" si="14"/>
        <v>0</v>
      </c>
      <c r="M45" s="64">
        <f t="shared" si="14"/>
        <v>0</v>
      </c>
      <c r="N45" s="60"/>
      <c r="O45" s="60">
        <f t="shared" ref="O45:Y45" si="15">SUM(O11:O41)</f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/>
      <c r="AA45" s="4" t="s">
        <v>19</v>
      </c>
      <c r="AB45" s="60">
        <f>AVERAGE(AB11:AB41)</f>
        <v>0</v>
      </c>
      <c r="AC45" s="61">
        <f>AVERAGE(AC11:AC41)</f>
        <v>0</v>
      </c>
      <c r="AD45" s="60">
        <f>AVERAGE(AD11:AD41)</f>
        <v>0</v>
      </c>
      <c r="AE45" s="60" t="e">
        <f>AVERAGE(AE11:AE41)</f>
        <v>#DIV/0!</v>
      </c>
      <c r="AF45" s="60" t="e">
        <f>AVERAGE(AF11:AF41)</f>
        <v>#DIV/0!</v>
      </c>
      <c r="AG45" s="60"/>
      <c r="AH45" s="60">
        <f t="shared" ref="AH45:AN45" si="16">AVERAGE(AH11:AH41)</f>
        <v>0</v>
      </c>
      <c r="AI45" s="62">
        <f t="shared" si="16"/>
        <v>0</v>
      </c>
      <c r="AJ45" s="62">
        <f t="shared" si="16"/>
        <v>0</v>
      </c>
      <c r="AK45" s="62"/>
      <c r="AL45" s="62"/>
      <c r="AM45" s="62"/>
      <c r="AN45" s="62" t="e">
        <f t="shared" si="16"/>
        <v>#DIV/0!</v>
      </c>
      <c r="AO45" s="6"/>
      <c r="AP45" s="4" t="s">
        <v>19</v>
      </c>
      <c r="AQ45" s="63">
        <f t="shared" ref="AQ45:AR45" si="17">AVERAGE(AQ11:AQ41)</f>
        <v>0</v>
      </c>
      <c r="AR45" s="63">
        <f t="shared" si="17"/>
        <v>0</v>
      </c>
    </row>
    <row r="46" spans="1:44">
      <c r="A46" t="s">
        <v>19</v>
      </c>
      <c r="B46" s="64">
        <f>(SUM(B11:B41)/31)</f>
        <v>0</v>
      </c>
      <c r="C46" s="64">
        <f t="shared" ref="C46:M46" si="18">(SUM(C11:C41)/31)</f>
        <v>0</v>
      </c>
      <c r="D46" s="64">
        <f t="shared" si="18"/>
        <v>0</v>
      </c>
      <c r="E46" s="64">
        <f t="shared" si="18"/>
        <v>0</v>
      </c>
      <c r="F46" s="64">
        <f t="shared" si="18"/>
        <v>0</v>
      </c>
      <c r="G46" s="64">
        <f t="shared" si="18"/>
        <v>0</v>
      </c>
      <c r="H46" s="64">
        <f t="shared" si="18"/>
        <v>0</v>
      </c>
      <c r="I46" s="64">
        <f t="shared" si="18"/>
        <v>0</v>
      </c>
      <c r="J46" s="64">
        <f t="shared" si="18"/>
        <v>0</v>
      </c>
      <c r="K46" s="64">
        <f t="shared" si="18"/>
        <v>0</v>
      </c>
      <c r="L46" s="64">
        <f t="shared" si="18"/>
        <v>0</v>
      </c>
      <c r="M46" s="64">
        <f t="shared" si="18"/>
        <v>0</v>
      </c>
      <c r="N46" s="4"/>
      <c r="O46" s="64">
        <f t="shared" ref="O46:Y46" si="19">(SUM(O11:O41)/31)</f>
        <v>0</v>
      </c>
      <c r="P46" s="64">
        <f t="shared" si="19"/>
        <v>0</v>
      </c>
      <c r="Q46" s="64">
        <f t="shared" si="19"/>
        <v>0</v>
      </c>
      <c r="R46" s="64">
        <f t="shared" si="19"/>
        <v>0</v>
      </c>
      <c r="S46" s="64">
        <f t="shared" si="19"/>
        <v>0</v>
      </c>
      <c r="T46" s="64">
        <f t="shared" si="19"/>
        <v>0</v>
      </c>
      <c r="U46" s="64">
        <f t="shared" si="19"/>
        <v>0</v>
      </c>
      <c r="V46" s="64">
        <f t="shared" si="19"/>
        <v>0</v>
      </c>
      <c r="W46" s="64">
        <f t="shared" si="19"/>
        <v>0</v>
      </c>
      <c r="X46" s="64">
        <f t="shared" si="19"/>
        <v>0</v>
      </c>
      <c r="Y46" s="64">
        <f t="shared" si="19"/>
        <v>0</v>
      </c>
      <c r="Z46" s="74"/>
      <c r="AA46" s="4" t="s">
        <v>20</v>
      </c>
      <c r="AB46" s="64">
        <f>STDEV(AB11:AB41)</f>
        <v>0</v>
      </c>
      <c r="AC46" s="65">
        <f>STDEV(AC11:AC41)</f>
        <v>0</v>
      </c>
      <c r="AD46" s="64">
        <f>STDEV(AD11:AD41)</f>
        <v>0</v>
      </c>
      <c r="AE46" s="64" t="e">
        <f>STDEV(AE11:AE41)</f>
        <v>#DIV/0!</v>
      </c>
      <c r="AF46" s="64" t="e">
        <f>STDEV(AF11:AF41)</f>
        <v>#DIV/0!</v>
      </c>
      <c r="AG46" s="64"/>
      <c r="AH46" s="64">
        <f t="shared" ref="AH46:AN46" si="20">STDEV(AH11:AH41)</f>
        <v>0</v>
      </c>
      <c r="AI46" s="66">
        <f t="shared" si="20"/>
        <v>0</v>
      </c>
      <c r="AJ46" s="66">
        <f t="shared" si="20"/>
        <v>0</v>
      </c>
      <c r="AK46" s="66"/>
      <c r="AL46" s="66"/>
      <c r="AM46" s="66"/>
      <c r="AN46" s="66" t="e">
        <f t="shared" si="20"/>
        <v>#DIV/0!</v>
      </c>
      <c r="AO46" s="6"/>
      <c r="AP46" s="4" t="s">
        <v>20</v>
      </c>
      <c r="AQ46" s="64">
        <f>STDEV(AQ11:AQ41)</f>
        <v>0</v>
      </c>
      <c r="AR46" s="64">
        <f>STDEV(AR11:AR41)</f>
        <v>0</v>
      </c>
    </row>
    <row r="47" spans="1:44">
      <c r="B47" s="7"/>
      <c r="C47" s="7"/>
    </row>
  </sheetData>
  <mergeCells count="5">
    <mergeCell ref="AQ7:AR7"/>
    <mergeCell ref="AL8:AO8"/>
    <mergeCell ref="B9:M9"/>
    <mergeCell ref="O9:R9"/>
    <mergeCell ref="Y9:Z9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Jan'16</vt:lpstr>
      <vt:lpstr>Feb'16</vt:lpstr>
      <vt:lpstr>Mar'16</vt:lpstr>
      <vt:lpstr>Apr'16</vt:lpstr>
      <vt:lpstr>May'16</vt:lpstr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Richmond-Hall;Nuite, Zyla R</dc:creator>
  <cp:lastModifiedBy>Joan Richmond-Hall</cp:lastModifiedBy>
  <dcterms:created xsi:type="dcterms:W3CDTF">2015-07-07T22:36:48Z</dcterms:created>
  <dcterms:modified xsi:type="dcterms:W3CDTF">2016-06-17T18:47:03Z</dcterms:modified>
</cp:coreProperties>
</file>