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5600" windowHeight="1756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" i="1" l="1"/>
  <c r="T10" i="1"/>
  <c r="T17" i="1"/>
  <c r="T23" i="1"/>
  <c r="T31" i="1"/>
  <c r="T36" i="1"/>
  <c r="S3" i="1"/>
  <c r="S10" i="1"/>
  <c r="S17" i="1"/>
  <c r="S23" i="1"/>
  <c r="S31" i="1"/>
  <c r="S36" i="1"/>
  <c r="R3" i="1"/>
  <c r="R10" i="1"/>
  <c r="R17" i="1"/>
  <c r="R23" i="1"/>
  <c r="R31" i="1"/>
  <c r="R36" i="1"/>
  <c r="Q3" i="1"/>
  <c r="Q10" i="1"/>
  <c r="Q17" i="1"/>
  <c r="Q23" i="1"/>
  <c r="Q31" i="1"/>
  <c r="Q36" i="1"/>
  <c r="O3" i="1"/>
  <c r="O10" i="1"/>
  <c r="O17" i="1"/>
  <c r="O23" i="1"/>
  <c r="O31" i="1"/>
  <c r="O36" i="1"/>
  <c r="M3" i="1"/>
  <c r="M10" i="1"/>
  <c r="M17" i="1"/>
  <c r="M23" i="1"/>
  <c r="M31" i="1"/>
  <c r="M36" i="1"/>
  <c r="J36" i="1"/>
  <c r="I36" i="1"/>
  <c r="H36" i="1"/>
  <c r="G36" i="1"/>
  <c r="E36" i="1"/>
  <c r="D36" i="1"/>
  <c r="C36" i="1"/>
  <c r="T35" i="1"/>
  <c r="S35" i="1"/>
  <c r="R35" i="1"/>
  <c r="Q35" i="1"/>
  <c r="O35" i="1"/>
  <c r="M35" i="1"/>
  <c r="J35" i="1"/>
  <c r="I35" i="1"/>
  <c r="H35" i="1"/>
  <c r="G35" i="1"/>
  <c r="E35" i="1"/>
  <c r="D35" i="1"/>
  <c r="C35" i="1"/>
</calcChain>
</file>

<file path=xl/sharedStrings.xml><?xml version="1.0" encoding="utf-8"?>
<sst xmlns="http://schemas.openxmlformats.org/spreadsheetml/2006/main" count="60" uniqueCount="41">
  <si>
    <t>VTCAD May 2015 Operational Data</t>
  </si>
  <si>
    <t>notes: AD vertical mixing pump 6 out all month.</t>
  </si>
  <si>
    <t>Day of May 2015</t>
  </si>
  <si>
    <t>biogas consumed (m3)</t>
  </si>
  <si>
    <t>CH4 (%)</t>
  </si>
  <si>
    <t>H2S (ppm)</t>
  </si>
  <si>
    <t>day</t>
  </si>
  <si>
    <t>electricity consumed (kWh)</t>
  </si>
  <si>
    <t>electricity produced (kWh)</t>
  </si>
  <si>
    <t>Hydrolyzer pH</t>
  </si>
  <si>
    <t>AD pH</t>
  </si>
  <si>
    <t>hydroylzer Ripley ratio</t>
  </si>
  <si>
    <t>AD Ripley ratio</t>
  </si>
  <si>
    <t>Hydrolyzer TA (mg/L CaCO3)</t>
  </si>
  <si>
    <t>hydrolyzer PA (mg/L CaCO3)</t>
  </si>
  <si>
    <t>hydrolyzer IA (mg/L CaCO3)</t>
  </si>
  <si>
    <t>AD TA (mg/L CaCO3)</t>
  </si>
  <si>
    <t>AD PA (mg/L CaCO3)</t>
  </si>
  <si>
    <t>AD IA (mg/L CaCO3)</t>
  </si>
  <si>
    <t>generator starts</t>
  </si>
  <si>
    <t>flare starts</t>
  </si>
  <si>
    <t>2G cumulative biogas (m3)</t>
  </si>
  <si>
    <t>generator cumulative operation (hrs)</t>
  </si>
  <si>
    <r>
      <rPr>
        <b/>
        <sz val="12"/>
        <color theme="1"/>
        <rFont val="Calibri"/>
        <family val="2"/>
        <scheme val="minor"/>
      </rPr>
      <t>AD vertical mixing pump out all month.</t>
    </r>
    <r>
      <rPr>
        <sz val="12"/>
        <color theme="1"/>
        <rFont val="Calibri"/>
        <family val="2"/>
        <scheme val="minor"/>
      </rPr>
      <t xml:space="preserve"> Worked on flare: raised position of thermocouple.</t>
    </r>
  </si>
  <si>
    <t>Conveyer 2 breaker tripped.</t>
  </si>
  <si>
    <t>Increased glycerol:crumb to 800 gallons/day. Increased flare on setting to 90%. Genset on setting is 80%. Calibrated gas analyzer.</t>
  </si>
  <si>
    <t>Changed FeCl3 tote.</t>
  </si>
  <si>
    <t>Genset tripped off x 2; flare worked first time but was turned off second time?</t>
  </si>
  <si>
    <t>Ammonia in prep pit; connected to moldy silage fed yesterday?</t>
  </si>
  <si>
    <t xml:space="preserve"> </t>
  </si>
  <si>
    <t>Flushed ~100 gallons from bottom of AD tank.</t>
  </si>
  <si>
    <t>Flushed ~1000 gallons from bottom of AD tank.</t>
  </si>
  <si>
    <t>Pump 11 running fault</t>
  </si>
  <si>
    <t>Pump 12 running fault</t>
  </si>
  <si>
    <t>Genset tripped off; flare working. Conveyer 2 breaker tripped.</t>
  </si>
  <si>
    <t>Lightning storm shut system down; Dan reset. Calibrated gas analyzer.</t>
  </si>
  <si>
    <t>Ammonia in prep pit</t>
  </si>
  <si>
    <t>Genset switch closing fault</t>
  </si>
  <si>
    <t>Genset tripped off; flare working</t>
  </si>
  <si>
    <t>average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</si>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</sst>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m/d/yy\ h:mm;@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rgb="FF0000FF"/>
      <name val="Calibri"/>
      <scheme val="minor"/>
    </font>
    <font>
      <b/>
      <sz val="14"/>
      <name val="Calibri"/>
      <scheme val="minor"/>
    </font>
    <font>
      <b/>
      <sz val="12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sz val="12"/>
      <color rgb="FF0000FF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164" fontId="4" fillId="0" borderId="0" xfId="1" applyNumberFormat="1" applyFont="1"/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164" fontId="5" fillId="0" borderId="0" xfId="1" applyNumberFormat="1" applyFont="1"/>
    <xf numFmtId="164" fontId="3" fillId="0" borderId="0" xfId="1" applyNumberFormat="1" applyFont="1"/>
    <xf numFmtId="0" fontId="2" fillId="0" borderId="0" xfId="0" applyFont="1" applyAlignment="1">
      <alignment horizontal="right" wrapText="1"/>
    </xf>
    <xf numFmtId="166" fontId="2" fillId="0" borderId="0" xfId="0" applyNumberFormat="1" applyFont="1" applyAlignment="1">
      <alignment horizontal="right" wrapText="1"/>
    </xf>
    <xf numFmtId="164" fontId="6" fillId="0" borderId="0" xfId="1" applyNumberFormat="1" applyFont="1" applyAlignment="1">
      <alignment horizontal="right" wrapText="1"/>
    </xf>
    <xf numFmtId="165" fontId="6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2" fontId="6" fillId="0" borderId="0" xfId="0" applyNumberFormat="1" applyFont="1" applyAlignment="1">
      <alignment horizontal="right" wrapText="1"/>
    </xf>
    <xf numFmtId="164" fontId="6" fillId="0" borderId="0" xfId="1" applyNumberFormat="1" applyFont="1" applyFill="1" applyBorder="1" applyAlignment="1">
      <alignment horizontal="right" wrapText="1"/>
    </xf>
    <xf numFmtId="164" fontId="2" fillId="0" borderId="0" xfId="1" applyNumberFormat="1" applyFont="1" applyFill="1" applyBorder="1" applyAlignment="1">
      <alignment horizontal="right" wrapText="1"/>
    </xf>
    <xf numFmtId="1" fontId="8" fillId="0" borderId="0" xfId="0" applyNumberFormat="1" applyFont="1"/>
    <xf numFmtId="3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/>
    <xf numFmtId="164" fontId="9" fillId="0" borderId="0" xfId="1" applyNumberFormat="1" applyFont="1"/>
    <xf numFmtId="164" fontId="0" fillId="0" borderId="0" xfId="1" applyNumberFormat="1" applyFont="1"/>
    <xf numFmtId="3" fontId="2" fillId="0" borderId="0" xfId="0" applyNumberFormat="1" applyFont="1"/>
    <xf numFmtId="0" fontId="6" fillId="0" borderId="0" xfId="0" applyFont="1"/>
    <xf numFmtId="164" fontId="6" fillId="0" borderId="0" xfId="1" applyNumberFormat="1" applyFont="1"/>
    <xf numFmtId="165" fontId="6" fillId="0" borderId="0" xfId="1" applyNumberFormat="1" applyFont="1" applyAlignment="1">
      <alignment horizontal="center"/>
    </xf>
    <xf numFmtId="164" fontId="6" fillId="0" borderId="0" xfId="1" applyNumberFormat="1" applyFont="1" applyFill="1"/>
    <xf numFmtId="2" fontId="6" fillId="0" borderId="0" xfId="1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2" fontId="6" fillId="0" borderId="0" xfId="0" applyNumberFormat="1" applyFont="1"/>
    <xf numFmtId="164" fontId="10" fillId="0" borderId="0" xfId="1" applyNumberFormat="1" applyFont="1"/>
    <xf numFmtId="165" fontId="10" fillId="0" borderId="0" xfId="0" applyNumberFormat="1" applyFont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0" applyFont="1"/>
    <xf numFmtId="2" fontId="10" fillId="0" borderId="0" xfId="0" applyNumberFormat="1" applyFont="1"/>
  </cellXfs>
  <cellStyles count="2">
    <cellStyle name="Comma" xfId="1" builtinId="3"/>
    <cellStyle name="Normal" xfId="0" builtinId="0"/>
  </cellStyles>
  <dxfs count="6">
    <dxf>
      <font>
        <color rgb="FFC00000"/>
      </font>
      <fill>
        <patternFill>
          <bgColor rgb="FFFFEB9C"/>
        </patternFill>
      </fill>
    </dxf>
    <dxf>
      <font>
        <color rgb="FFC00000"/>
      </font>
      <fill>
        <patternFill>
          <bgColor rgb="FFFFEB9C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C00000"/>
      </font>
      <fill>
        <patternFill>
          <bgColor rgb="FFFFEB9C"/>
        </patternFill>
      </fill>
    </dxf>
    <dxf>
      <font>
        <color rgb="FFC00000"/>
      </font>
      <fill>
        <patternFill>
          <bgColor rgb="FFFFEB9C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'[1]May''15'!$C$2</c:f>
              <c:strCache>
                <c:ptCount val="1"/>
                <c:pt idx="0">
                  <c:v>biogas consumed (m3)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numRef>
              <c:f>'[1]May''15'!$B$3:$B$33</c:f>
              <c:numCache>
                <c:formatCode>0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'[1]May''15'!$C$3:$C$33</c:f>
              <c:numCache>
                <c:formatCode>#,##0</c:formatCode>
                <c:ptCount val="31"/>
                <c:pt idx="0">
                  <c:v>1691.571696933473</c:v>
                </c:pt>
                <c:pt idx="1">
                  <c:v>1939.020172913265</c:v>
                </c:pt>
                <c:pt idx="2">
                  <c:v>1746.782608691231</c:v>
                </c:pt>
                <c:pt idx="5">
                  <c:v>1624.761020882109</c:v>
                </c:pt>
                <c:pt idx="6">
                  <c:v>1614.088050312102</c:v>
                </c:pt>
                <c:pt idx="7">
                  <c:v>1594.91204330377</c:v>
                </c:pt>
                <c:pt idx="9">
                  <c:v>1641.929885454581</c:v>
                </c:pt>
                <c:pt idx="10">
                  <c:v>2137.063711907567</c:v>
                </c:pt>
                <c:pt idx="11">
                  <c:v>1882.597402608787</c:v>
                </c:pt>
                <c:pt idx="12">
                  <c:v>1351.613793102363</c:v>
                </c:pt>
                <c:pt idx="13">
                  <c:v>1708.408163261247</c:v>
                </c:pt>
                <c:pt idx="14">
                  <c:v>1783.728813565481</c:v>
                </c:pt>
                <c:pt idx="15">
                  <c:v>1964.192634556696</c:v>
                </c:pt>
                <c:pt idx="16">
                  <c:v>0.0</c:v>
                </c:pt>
                <c:pt idx="17">
                  <c:v>4249.609984393201</c:v>
                </c:pt>
                <c:pt idx="18">
                  <c:v>1870.92024540679</c:v>
                </c:pt>
                <c:pt idx="20">
                  <c:v>1945.130890049985</c:v>
                </c:pt>
                <c:pt idx="21">
                  <c:v>2052.378947363391</c:v>
                </c:pt>
                <c:pt idx="22">
                  <c:v>1579.0</c:v>
                </c:pt>
                <c:pt idx="23">
                  <c:v>1348.318339104691</c:v>
                </c:pt>
                <c:pt idx="24">
                  <c:v>1535.33793103325</c:v>
                </c:pt>
                <c:pt idx="25">
                  <c:v>1536.0</c:v>
                </c:pt>
                <c:pt idx="26">
                  <c:v>2178.43598616619</c:v>
                </c:pt>
                <c:pt idx="27">
                  <c:v>1749.073170726032</c:v>
                </c:pt>
                <c:pt idx="28">
                  <c:v>1784.282744283608</c:v>
                </c:pt>
                <c:pt idx="29">
                  <c:v>588.4954513664124</c:v>
                </c:pt>
                <c:pt idx="30">
                  <c:v>1756.426512957398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-2078861416"/>
        <c:axId val="-2078858376"/>
      </c:barChart>
      <c:scatterChart>
        <c:scatterStyle val="lineMarker"/>
        <c:varyColors val="0"/>
        <c:ser>
          <c:idx val="1"/>
          <c:order val="1"/>
          <c:tx>
            <c:strRef>
              <c:f>'[1]May''15'!$D$2</c:f>
              <c:strCache>
                <c:ptCount val="1"/>
                <c:pt idx="0">
                  <c:v>CH4 (%)</c:v>
                </c:pt>
              </c:strCache>
            </c:strRef>
          </c:tx>
          <c:spPr>
            <a:ln w="47625">
              <a:noFill/>
            </a:ln>
          </c:spPr>
          <c:marker>
            <c:symbol val="square"/>
            <c:size val="9"/>
            <c:spPr>
              <a:solidFill>
                <a:schemeClr val="bg1"/>
              </a:solidFill>
              <a:ln w="19050" cmpd="sng">
                <a:solidFill>
                  <a:srgbClr val="0000FF"/>
                </a:solidFill>
              </a:ln>
            </c:spPr>
          </c:marker>
          <c:xVal>
            <c:numRef>
              <c:f>'[1]May''15'!$B$3:$B$33</c:f>
              <c:numCache>
                <c:formatCode>0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xVal>
          <c:yVal>
            <c:numRef>
              <c:f>'[1]May''15'!$D$3:$D$33</c:f>
              <c:numCache>
                <c:formatCode>0.0</c:formatCode>
                <c:ptCount val="31"/>
                <c:pt idx="0">
                  <c:v>60.3</c:v>
                </c:pt>
                <c:pt idx="5">
                  <c:v>62.3</c:v>
                </c:pt>
                <c:pt idx="6">
                  <c:v>61.2</c:v>
                </c:pt>
                <c:pt idx="7">
                  <c:v>61.4</c:v>
                </c:pt>
                <c:pt idx="9">
                  <c:v>60.7</c:v>
                </c:pt>
                <c:pt idx="10">
                  <c:v>60.5</c:v>
                </c:pt>
                <c:pt idx="11">
                  <c:v>60.3</c:v>
                </c:pt>
                <c:pt idx="12">
                  <c:v>60.0</c:v>
                </c:pt>
                <c:pt idx="13">
                  <c:v>60.5</c:v>
                </c:pt>
                <c:pt idx="14">
                  <c:v>60.3</c:v>
                </c:pt>
                <c:pt idx="15">
                  <c:v>60.0</c:v>
                </c:pt>
                <c:pt idx="16">
                  <c:v>59.9</c:v>
                </c:pt>
                <c:pt idx="17">
                  <c:v>59.6</c:v>
                </c:pt>
                <c:pt idx="18">
                  <c:v>59.5</c:v>
                </c:pt>
                <c:pt idx="20">
                  <c:v>60.2</c:v>
                </c:pt>
                <c:pt idx="21">
                  <c:v>61.1</c:v>
                </c:pt>
                <c:pt idx="22">
                  <c:v>62.3</c:v>
                </c:pt>
                <c:pt idx="23">
                  <c:v>63.2</c:v>
                </c:pt>
                <c:pt idx="24">
                  <c:v>63.2</c:v>
                </c:pt>
                <c:pt idx="25">
                  <c:v>62.0</c:v>
                </c:pt>
                <c:pt idx="26">
                  <c:v>61.8</c:v>
                </c:pt>
                <c:pt idx="27">
                  <c:v>60.7</c:v>
                </c:pt>
                <c:pt idx="28">
                  <c:v>61.9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'[1]May''15'!$E$2</c:f>
              <c:strCache>
                <c:ptCount val="1"/>
                <c:pt idx="0">
                  <c:v>H2S (ppm)</c:v>
                </c:pt>
              </c:strCache>
            </c:strRef>
          </c:tx>
          <c:spPr>
            <a:ln w="47625">
              <a:noFill/>
            </a:ln>
          </c:spPr>
          <c:marker>
            <c:symbol val="plus"/>
            <c:size val="9"/>
            <c:spPr>
              <a:ln>
                <a:solidFill>
                  <a:schemeClr val="tx1"/>
                </a:solidFill>
              </a:ln>
            </c:spPr>
          </c:marker>
          <c:dPt>
            <c:idx val="1"/>
            <c:marker>
              <c:spPr>
                <a:ln w="19050" cmpd="sng">
                  <a:solidFill>
                    <a:schemeClr val="tx1"/>
                  </a:solidFill>
                </a:ln>
              </c:spPr>
            </c:marker>
            <c:bubble3D val="0"/>
          </c:dPt>
          <c:xVal>
            <c:numRef>
              <c:f>'[1]May''15'!$B$3:$B$34</c:f>
              <c:numCache>
                <c:formatCode>0</c:formatCode>
                <c:ptCount val="3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xVal>
          <c:yVal>
            <c:numRef>
              <c:f>'[1]May''15'!$E$3:$E$34</c:f>
              <c:numCache>
                <c:formatCode>General</c:formatCode>
                <c:ptCount val="32"/>
                <c:pt idx="0">
                  <c:v>222.0</c:v>
                </c:pt>
                <c:pt idx="1">
                  <c:v>174.0</c:v>
                </c:pt>
                <c:pt idx="2">
                  <c:v>266.0</c:v>
                </c:pt>
                <c:pt idx="5">
                  <c:v>194.0</c:v>
                </c:pt>
                <c:pt idx="6">
                  <c:v>364.0</c:v>
                </c:pt>
                <c:pt idx="7">
                  <c:v>289.0</c:v>
                </c:pt>
                <c:pt idx="9">
                  <c:v>369.0</c:v>
                </c:pt>
                <c:pt idx="10">
                  <c:v>350.0</c:v>
                </c:pt>
                <c:pt idx="11">
                  <c:v>275.0</c:v>
                </c:pt>
                <c:pt idx="12">
                  <c:v>262.0</c:v>
                </c:pt>
                <c:pt idx="13">
                  <c:v>342.0</c:v>
                </c:pt>
                <c:pt idx="14">
                  <c:v>330.0</c:v>
                </c:pt>
                <c:pt idx="15">
                  <c:v>323.0</c:v>
                </c:pt>
                <c:pt idx="16">
                  <c:v>358.0</c:v>
                </c:pt>
                <c:pt idx="17">
                  <c:v>432.0</c:v>
                </c:pt>
                <c:pt idx="18">
                  <c:v>295.0</c:v>
                </c:pt>
                <c:pt idx="20">
                  <c:v>320.0</c:v>
                </c:pt>
                <c:pt idx="21">
                  <c:v>480.0</c:v>
                </c:pt>
                <c:pt idx="22">
                  <c:v>329.0</c:v>
                </c:pt>
                <c:pt idx="23">
                  <c:v>413.0</c:v>
                </c:pt>
                <c:pt idx="24">
                  <c:v>333.0</c:v>
                </c:pt>
                <c:pt idx="25">
                  <c:v>367.0</c:v>
                </c:pt>
                <c:pt idx="26">
                  <c:v>400.0</c:v>
                </c:pt>
                <c:pt idx="27">
                  <c:v>263.0</c:v>
                </c:pt>
                <c:pt idx="28">
                  <c:v>196.0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8846696"/>
        <c:axId val="-2078852440"/>
      </c:scatterChart>
      <c:catAx>
        <c:axId val="-20788614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-2078858376"/>
        <c:crosses val="autoZero"/>
        <c:auto val="0"/>
        <c:lblAlgn val="ctr"/>
        <c:lblOffset val="100"/>
        <c:noMultiLvlLbl val="1"/>
      </c:catAx>
      <c:valAx>
        <c:axId val="-2078858376"/>
        <c:scaling>
          <c:orientation val="minMax"/>
          <c:max val="300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biogas volume</a:t>
                </a:r>
                <a:r>
                  <a:rPr lang="en-US" sz="1200" baseline="0"/>
                  <a:t> (m3)</a:t>
                </a:r>
                <a:endParaRPr lang="en-US" sz="1200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78861416"/>
        <c:crosses val="autoZero"/>
        <c:crossBetween val="between"/>
      </c:valAx>
      <c:valAx>
        <c:axId val="-2078852440"/>
        <c:scaling>
          <c:orientation val="minMax"/>
          <c:max val="60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methane (%), H2S</a:t>
                </a:r>
                <a:r>
                  <a:rPr lang="en-US" sz="1200" baseline="0"/>
                  <a:t> (ppm</a:t>
                </a:r>
                <a:endParaRPr lang="en-US" sz="1200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78846696"/>
        <c:crosses val="max"/>
        <c:crossBetween val="midCat"/>
      </c:valAx>
      <c:valAx>
        <c:axId val="-20788466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-2078852440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741918009635"/>
          <c:y val="0.125893842400273"/>
          <c:w val="0.17764224496508"/>
          <c:h val="0.16070378031921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'[1]May''15'!$H$2</c:f>
              <c:strCache>
                <c:ptCount val="1"/>
                <c:pt idx="0">
                  <c:v>electricity produced (kWh)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numRef>
              <c:f>'[1]May''15'!$F$3:$F$33</c:f>
              <c:numCache>
                <c:formatCode>0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'[1]May''15'!$H$3:$H$33</c:f>
              <c:numCache>
                <c:formatCode>#,##0</c:formatCode>
                <c:ptCount val="31"/>
                <c:pt idx="0">
                  <c:v>4035.967438952146</c:v>
                </c:pt>
                <c:pt idx="1">
                  <c:v>4885.417867441714</c:v>
                </c:pt>
                <c:pt idx="2">
                  <c:v>5017.043478248173</c:v>
                </c:pt>
                <c:pt idx="5">
                  <c:v>5000.909512762371</c:v>
                </c:pt>
                <c:pt idx="6">
                  <c:v>5689.559748419341</c:v>
                </c:pt>
                <c:pt idx="7">
                  <c:v>5422.895805148918</c:v>
                </c:pt>
                <c:pt idx="9">
                  <c:v>5229.684137446356</c:v>
                </c:pt>
                <c:pt idx="10">
                  <c:v>4945.263157885965</c:v>
                </c:pt>
                <c:pt idx="11">
                  <c:v>4431.168831195628</c:v>
                </c:pt>
                <c:pt idx="12">
                  <c:v>3031.944827583773</c:v>
                </c:pt>
                <c:pt idx="13">
                  <c:v>4415.020408152775</c:v>
                </c:pt>
                <c:pt idx="14">
                  <c:v>4448.135593235698</c:v>
                </c:pt>
                <c:pt idx="15">
                  <c:v>4303.682719537517</c:v>
                </c:pt>
                <c:pt idx="17">
                  <c:v>9188.892355680877</c:v>
                </c:pt>
                <c:pt idx="18">
                  <c:v>4032.39263805409</c:v>
                </c:pt>
                <c:pt idx="20">
                  <c:v>4200.879581146712</c:v>
                </c:pt>
                <c:pt idx="21">
                  <c:v>4417.010526304963</c:v>
                </c:pt>
                <c:pt idx="22">
                  <c:v>4566.0</c:v>
                </c:pt>
                <c:pt idx="23">
                  <c:v>5140.15224915151</c:v>
                </c:pt>
                <c:pt idx="24">
                  <c:v>6031.117241374467</c:v>
                </c:pt>
                <c:pt idx="25">
                  <c:v>5710.0</c:v>
                </c:pt>
                <c:pt idx="26">
                  <c:v>5443.100346038302</c:v>
                </c:pt>
                <c:pt idx="27">
                  <c:v>4815.721254339773</c:v>
                </c:pt>
                <c:pt idx="28">
                  <c:v>5414.719334721955</c:v>
                </c:pt>
                <c:pt idx="29">
                  <c:v>1960.979706094244</c:v>
                </c:pt>
                <c:pt idx="30">
                  <c:v>5313.890489880563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-2098712296"/>
        <c:axId val="-2082267800"/>
      </c:barChart>
      <c:scatterChart>
        <c:scatterStyle val="lineMarker"/>
        <c:varyColors val="0"/>
        <c:ser>
          <c:idx val="0"/>
          <c:order val="0"/>
          <c:tx>
            <c:strRef>
              <c:f>'[1]May''15'!$G$2</c:f>
              <c:strCache>
                <c:ptCount val="1"/>
                <c:pt idx="0">
                  <c:v>electricity consumed (kWh)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2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'[1]May''15'!$F$3:$F$33</c:f>
              <c:numCache>
                <c:formatCode>0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xVal>
          <c:yVal>
            <c:numRef>
              <c:f>'[1]May''15'!$G$3:$G$33</c:f>
              <c:numCache>
                <c:formatCode>#,##0</c:formatCode>
                <c:ptCount val="31"/>
                <c:pt idx="0">
                  <c:v>694.3018159055301</c:v>
                </c:pt>
                <c:pt idx="1">
                  <c:v>641.1527377530218</c:v>
                </c:pt>
                <c:pt idx="2">
                  <c:v>590.6086956506792</c:v>
                </c:pt>
                <c:pt idx="5">
                  <c:v>646.4965197217523</c:v>
                </c:pt>
                <c:pt idx="6">
                  <c:v>672.201257860651</c:v>
                </c:pt>
                <c:pt idx="7">
                  <c:v>623.545331529879</c:v>
                </c:pt>
                <c:pt idx="9">
                  <c:v>581.298160360328</c:v>
                </c:pt>
                <c:pt idx="10">
                  <c:v>561.4404432123006</c:v>
                </c:pt>
                <c:pt idx="11">
                  <c:v>554.80519480855</c:v>
                </c:pt>
                <c:pt idx="12">
                  <c:v>628.634482758116</c:v>
                </c:pt>
                <c:pt idx="13">
                  <c:v>491.755102039648</c:v>
                </c:pt>
                <c:pt idx="14">
                  <c:v>627.4576271208107</c:v>
                </c:pt>
                <c:pt idx="15">
                  <c:v>509.9150141632128</c:v>
                </c:pt>
                <c:pt idx="17">
                  <c:v>1207.862714506825</c:v>
                </c:pt>
                <c:pt idx="18">
                  <c:v>596.8098159534777</c:v>
                </c:pt>
                <c:pt idx="20">
                  <c:v>549.361256543833</c:v>
                </c:pt>
                <c:pt idx="21">
                  <c:v>496.1684210514156</c:v>
                </c:pt>
                <c:pt idx="22">
                  <c:v>532.0</c:v>
                </c:pt>
                <c:pt idx="23">
                  <c:v>577.9930795866376</c:v>
                </c:pt>
                <c:pt idx="24">
                  <c:v>504.4965517237329</c:v>
                </c:pt>
                <c:pt idx="25">
                  <c:v>530.0</c:v>
                </c:pt>
                <c:pt idx="26">
                  <c:v>589.9515570953267</c:v>
                </c:pt>
                <c:pt idx="27">
                  <c:v>437.5191637616464</c:v>
                </c:pt>
                <c:pt idx="28">
                  <c:v>540.8731808734427</c:v>
                </c:pt>
                <c:pt idx="29">
                  <c:v>544.1567529757924</c:v>
                </c:pt>
                <c:pt idx="30">
                  <c:v>531.1815561926686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712296"/>
        <c:axId val="-2082267800"/>
      </c:scatterChart>
      <c:catAx>
        <c:axId val="-20987122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-2082267800"/>
        <c:crosses val="autoZero"/>
        <c:auto val="1"/>
        <c:lblAlgn val="ctr"/>
        <c:lblOffset val="100"/>
        <c:noMultiLvlLbl val="1"/>
      </c:catAx>
      <c:valAx>
        <c:axId val="-2082267800"/>
        <c:scaling>
          <c:orientation val="minMax"/>
          <c:max val="900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electricity</a:t>
                </a:r>
                <a:r>
                  <a:rPr lang="en-US" sz="1200" baseline="0"/>
                  <a:t> (kWh)</a:t>
                </a:r>
                <a:endParaRPr lang="en-US" sz="120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871229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266778399688"/>
          <c:y val="0.12990972297006"/>
          <c:w val="0.134591805542379"/>
          <c:h val="0.18135767173343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'[1]May''15'!$L$2</c:f>
              <c:strCache>
                <c:ptCount val="1"/>
                <c:pt idx="0">
                  <c:v>hydroylzer Ripley ratio</c:v>
                </c:pt>
              </c:strCache>
            </c:strRef>
          </c:tx>
          <c:spPr>
            <a:ln w="47625">
              <a:noFill/>
            </a:ln>
          </c:spPr>
          <c:xVal>
            <c:numRef>
              <c:f>'[1]May''15'!$K$3:$K$33</c:f>
              <c:numCache>
                <c:formatCode>0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xVal>
          <c:yVal>
            <c:numRef>
              <c:f>'[1]May''15'!$L$3:$L$33</c:f>
              <c:numCache>
                <c:formatCode>General</c:formatCode>
                <c:ptCount val="31"/>
              </c:numCache>
            </c:numRef>
          </c:yVal>
          <c:smooth val="0"/>
        </c:ser>
        <c:ser>
          <c:idx val="1"/>
          <c:order val="1"/>
          <c:tx>
            <c:strRef>
              <c:f>'[1]May''15'!$M$2</c:f>
              <c:strCache>
                <c:ptCount val="1"/>
                <c:pt idx="0">
                  <c:v>AD Ripley ratio</c:v>
                </c:pt>
              </c:strCache>
            </c:strRef>
          </c:tx>
          <c:spPr>
            <a:ln w="47625">
              <a:noFill/>
            </a:ln>
          </c:spPr>
          <c:xVal>
            <c:numRef>
              <c:f>'[1]May''15'!$K$3:$K$33</c:f>
              <c:numCache>
                <c:formatCode>0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xVal>
          <c:yVal>
            <c:numRef>
              <c:f>'[1]May''15'!$M$3:$M$33</c:f>
              <c:numCache>
                <c:formatCode>General</c:formatCode>
                <c:ptCount val="31"/>
                <c:pt idx="0" formatCode="0.00">
                  <c:v>0.416666666666667</c:v>
                </c:pt>
                <c:pt idx="7" formatCode="0.00">
                  <c:v>0.48</c:v>
                </c:pt>
                <c:pt idx="14" formatCode="0.00">
                  <c:v>0.6075</c:v>
                </c:pt>
                <c:pt idx="20" formatCode="0.00">
                  <c:v>0.636666666666667</c:v>
                </c:pt>
                <c:pt idx="28" formatCode="0.00">
                  <c:v>0.836666666666667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8716344"/>
        <c:axId val="-2115526680"/>
      </c:scatterChart>
      <c:valAx>
        <c:axId val="-2078716344"/>
        <c:scaling>
          <c:orientation val="minMax"/>
          <c:max val="31.0"/>
          <c:min val="0.0"/>
        </c:scaling>
        <c:delete val="0"/>
        <c:axPos val="b"/>
        <c:numFmt formatCode="0" sourceLinked="1"/>
        <c:majorTickMark val="out"/>
        <c:minorTickMark val="none"/>
        <c:tickLblPos val="nextTo"/>
        <c:crossAx val="-2115526680"/>
        <c:crosses val="autoZero"/>
        <c:crossBetween val="midCat"/>
      </c:valAx>
      <c:valAx>
        <c:axId val="-21155266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Ripley ratio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78716344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334648536741"/>
          <c:y val="0.699205563839994"/>
          <c:w val="0.160859087807032"/>
          <c:h val="0.1128255058287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'[1]May''15'!$I$2</c:f>
              <c:strCache>
                <c:ptCount val="1"/>
                <c:pt idx="0">
                  <c:v>Hydrolyzer pH</c:v>
                </c:pt>
              </c:strCache>
            </c:strRef>
          </c:tx>
          <c:spPr>
            <a:ln w="47625">
              <a:noFill/>
            </a:ln>
          </c:spPr>
          <c:marker>
            <c:symbol val="triangle"/>
            <c:size val="15"/>
            <c:spPr>
              <a:solidFill>
                <a:schemeClr val="bg1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'[1]May''15'!$K$3:$K$33</c:f>
              <c:numCache>
                <c:formatCode>0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xVal>
          <c:yVal>
            <c:numRef>
              <c:f>'[1]May''15'!$I$3:$I$33</c:f>
              <c:numCache>
                <c:formatCode>0.00</c:formatCode>
                <c:ptCount val="31"/>
                <c:pt idx="0">
                  <c:v>5.02</c:v>
                </c:pt>
                <c:pt idx="1">
                  <c:v>5.06</c:v>
                </c:pt>
                <c:pt idx="2">
                  <c:v>5.04</c:v>
                </c:pt>
                <c:pt idx="5">
                  <c:v>5.1</c:v>
                </c:pt>
                <c:pt idx="6">
                  <c:v>5.03</c:v>
                </c:pt>
                <c:pt idx="7">
                  <c:v>5.02</c:v>
                </c:pt>
                <c:pt idx="11">
                  <c:v>5.25</c:v>
                </c:pt>
                <c:pt idx="12">
                  <c:v>5.25</c:v>
                </c:pt>
                <c:pt idx="14">
                  <c:v>5.14</c:v>
                </c:pt>
                <c:pt idx="15">
                  <c:v>5.19</c:v>
                </c:pt>
                <c:pt idx="17">
                  <c:v>5.35</c:v>
                </c:pt>
                <c:pt idx="18">
                  <c:v>5.13</c:v>
                </c:pt>
                <c:pt idx="20">
                  <c:v>5.04</c:v>
                </c:pt>
                <c:pt idx="22">
                  <c:v>5.19</c:v>
                </c:pt>
                <c:pt idx="24">
                  <c:v>5.11</c:v>
                </c:pt>
                <c:pt idx="25">
                  <c:v>5.43</c:v>
                </c:pt>
                <c:pt idx="26">
                  <c:v>5.19</c:v>
                </c:pt>
                <c:pt idx="27">
                  <c:v>5.13</c:v>
                </c:pt>
                <c:pt idx="28">
                  <c:v>5.35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'[1]May''15'!$J$2</c:f>
              <c:strCache>
                <c:ptCount val="1"/>
                <c:pt idx="0">
                  <c:v>AD pH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1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'[1]May''15'!$K$3:$K$33</c:f>
              <c:numCache>
                <c:formatCode>0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xVal>
          <c:yVal>
            <c:numRef>
              <c:f>'[1]May''15'!$J$3:$J$33</c:f>
              <c:numCache>
                <c:formatCode>General</c:formatCode>
                <c:ptCount val="31"/>
                <c:pt idx="0">
                  <c:v>7.22</c:v>
                </c:pt>
                <c:pt idx="1">
                  <c:v>7.22</c:v>
                </c:pt>
                <c:pt idx="2">
                  <c:v>7.22</c:v>
                </c:pt>
                <c:pt idx="5">
                  <c:v>7.23</c:v>
                </c:pt>
                <c:pt idx="6">
                  <c:v>7.18</c:v>
                </c:pt>
                <c:pt idx="7">
                  <c:v>7.24</c:v>
                </c:pt>
                <c:pt idx="11">
                  <c:v>7.17</c:v>
                </c:pt>
                <c:pt idx="12">
                  <c:v>7.23</c:v>
                </c:pt>
                <c:pt idx="14">
                  <c:v>7.32</c:v>
                </c:pt>
                <c:pt idx="15">
                  <c:v>7.15</c:v>
                </c:pt>
                <c:pt idx="17">
                  <c:v>7.13</c:v>
                </c:pt>
                <c:pt idx="18">
                  <c:v>7.13</c:v>
                </c:pt>
                <c:pt idx="20">
                  <c:v>7.21</c:v>
                </c:pt>
                <c:pt idx="22">
                  <c:v>7.13</c:v>
                </c:pt>
                <c:pt idx="24">
                  <c:v>7.13</c:v>
                </c:pt>
                <c:pt idx="25">
                  <c:v>7.05</c:v>
                </c:pt>
                <c:pt idx="26">
                  <c:v>7.03</c:v>
                </c:pt>
                <c:pt idx="27">
                  <c:v>6.99</c:v>
                </c:pt>
                <c:pt idx="28">
                  <c:v>7.12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4328872"/>
        <c:axId val="-2087875096"/>
      </c:scatterChart>
      <c:valAx>
        <c:axId val="-2084328872"/>
        <c:scaling>
          <c:orientation val="minMax"/>
          <c:max val="30.0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000" b="0" i="0"/>
            </a:pPr>
            <a:endParaRPr lang="en-US"/>
          </a:p>
        </c:txPr>
        <c:crossAx val="-2087875096"/>
        <c:crosses val="autoZero"/>
        <c:crossBetween val="midCat"/>
      </c:valAx>
      <c:valAx>
        <c:axId val="-2087875096"/>
        <c:scaling>
          <c:orientation val="minMax"/>
          <c:max val="8.0"/>
          <c:min val="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-2084328872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667962900343"/>
          <c:y val="0.379523370915042"/>
          <c:w val="0.118074368388001"/>
          <c:h val="0.15568178419419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37</xdr:row>
      <xdr:rowOff>6</xdr:rowOff>
    </xdr:from>
    <xdr:to>
      <xdr:col>15</xdr:col>
      <xdr:colOff>114300</xdr:colOff>
      <xdr:row>65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406400</xdr:colOff>
      <xdr:row>65</xdr:row>
      <xdr:rowOff>88900</xdr:rowOff>
    </xdr:from>
    <xdr:to>
      <xdr:col>14</xdr:col>
      <xdr:colOff>215900</xdr:colOff>
      <xdr:row>92</xdr:row>
      <xdr:rowOff>127006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400050</xdr:colOff>
      <xdr:row>92</xdr:row>
      <xdr:rowOff>177806</xdr:rowOff>
    </xdr:from>
    <xdr:to>
      <xdr:col>12</xdr:col>
      <xdr:colOff>660400</xdr:colOff>
      <xdr:row>116</xdr:row>
      <xdr:rowOff>127000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304800</xdr:colOff>
      <xdr:row>96</xdr:row>
      <xdr:rowOff>25400</xdr:rowOff>
    </xdr:from>
    <xdr:to>
      <xdr:col>10</xdr:col>
      <xdr:colOff>89886</xdr:colOff>
      <xdr:row>96</xdr:row>
      <xdr:rowOff>44450</xdr:rowOff>
    </xdr:to>
    <xdr:cxnSp macro="">
      <xdr:nvCxnSpPr>
        <xdr:cNvPr id="5" name="Straight Connector 4"/>
        <xdr:cNvCxnSpPr/>
      </xdr:nvCxnSpPr>
      <xdr:spPr>
        <a:xfrm>
          <a:off x="1193800" y="18707100"/>
          <a:ext cx="6173186" cy="1905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  <a:prstDash val="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279400</xdr:colOff>
      <xdr:row>117</xdr:row>
      <xdr:rowOff>101600</xdr:rowOff>
    </xdr:from>
    <xdr:to>
      <xdr:col>12</xdr:col>
      <xdr:colOff>101600</xdr:colOff>
      <xdr:row>134</xdr:row>
      <xdr:rowOff>139694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342900</xdr:colOff>
      <xdr:row>105</xdr:row>
      <xdr:rowOff>101600</xdr:rowOff>
    </xdr:from>
    <xdr:to>
      <xdr:col>10</xdr:col>
      <xdr:colOff>127986</xdr:colOff>
      <xdr:row>105</xdr:row>
      <xdr:rowOff>120650</xdr:rowOff>
    </xdr:to>
    <xdr:cxnSp macro="">
      <xdr:nvCxnSpPr>
        <xdr:cNvPr id="8" name="Straight Connector 7"/>
        <xdr:cNvCxnSpPr/>
      </xdr:nvCxnSpPr>
      <xdr:spPr>
        <a:xfrm>
          <a:off x="1231900" y="20497800"/>
          <a:ext cx="6173186" cy="1905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  <a:prstDash val="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0.10736</cdr:x>
      <cdr:y>0.05039</cdr:y>
    </cdr:from>
    <cdr:to>
      <cdr:x>0.84049</cdr:x>
      <cdr:y>0.29457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888985" y="165108"/>
          <a:ext cx="6070616" cy="8000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>
              <a:lumMod val="50000"/>
              <a:lumOff val="50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H_Air/Documents/Vermont%20Tech/Anaerobic%20Digestion/Beastie%20Data/VTCAD%20Monthly%20Data%20Sets/VTCAD_Daily_Ops_Data_by_Month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'15"/>
      <sheetName val="Feb'15"/>
      <sheetName val="Mar'15"/>
      <sheetName val="Apr'15"/>
      <sheetName val="May'15"/>
      <sheetName val="Jun'15"/>
      <sheetName val="Jul'15"/>
      <sheetName val="Aug'15"/>
      <sheetName val="Sep'15"/>
      <sheetName val="Oct'15"/>
      <sheetName val="Nov'15"/>
      <sheetName val="Template"/>
    </sheetNames>
    <sheetDataSet>
      <sheetData sheetId="0"/>
      <sheetData sheetId="1"/>
      <sheetData sheetId="2"/>
      <sheetData sheetId="3"/>
      <sheetData sheetId="4">
        <row r="2">
          <cell r="C2" t="str">
            <v>biogas consumed (m3)</v>
          </cell>
          <cell r="D2" t="str">
            <v>CH4 (%)</v>
          </cell>
          <cell r="E2" t="str">
            <v>H2S (ppm)</v>
          </cell>
          <cell r="G2" t="str">
            <v>electricity consumed (kWh)</v>
          </cell>
          <cell r="H2" t="str">
            <v>electricity produced (kWh)</v>
          </cell>
          <cell r="I2" t="str">
            <v>Hydrolyzer pH</v>
          </cell>
          <cell r="J2" t="str">
            <v>AD pH</v>
          </cell>
          <cell r="L2" t="str">
            <v>hydroylzer Ripley ratio</v>
          </cell>
          <cell r="M2" t="str">
            <v>AD Ripley ratio</v>
          </cell>
        </row>
        <row r="3">
          <cell r="B3">
            <v>1</v>
          </cell>
          <cell r="C3">
            <v>1691.5716969334733</v>
          </cell>
          <cell r="D3">
            <v>60.3</v>
          </cell>
          <cell r="E3">
            <v>222</v>
          </cell>
          <cell r="F3">
            <v>1</v>
          </cell>
          <cell r="G3">
            <v>694.30181590553013</v>
          </cell>
          <cell r="H3">
            <v>4035.967438952146</v>
          </cell>
          <cell r="I3">
            <v>5.0199999999999996</v>
          </cell>
          <cell r="J3">
            <v>7.22</v>
          </cell>
          <cell r="K3">
            <v>1</v>
          </cell>
          <cell r="M3">
            <v>0.41666666666666669</v>
          </cell>
        </row>
        <row r="4">
          <cell r="B4">
            <v>2</v>
          </cell>
          <cell r="C4">
            <v>1939.020172913265</v>
          </cell>
          <cell r="E4">
            <v>174</v>
          </cell>
          <cell r="F4">
            <v>2</v>
          </cell>
          <cell r="G4">
            <v>641.15273775302182</v>
          </cell>
          <cell r="H4">
            <v>4885.4178674417144</v>
          </cell>
          <cell r="I4">
            <v>5.0599999999999996</v>
          </cell>
          <cell r="J4">
            <v>7.22</v>
          </cell>
          <cell r="K4">
            <v>2</v>
          </cell>
        </row>
        <row r="5">
          <cell r="B5">
            <v>3</v>
          </cell>
          <cell r="C5">
            <v>1746.7826086912314</v>
          </cell>
          <cell r="E5">
            <v>266</v>
          </cell>
          <cell r="F5">
            <v>3</v>
          </cell>
          <cell r="G5">
            <v>590.60869565067924</v>
          </cell>
          <cell r="H5">
            <v>5017.0434782481725</v>
          </cell>
          <cell r="I5">
            <v>5.04</v>
          </cell>
          <cell r="J5">
            <v>7.22</v>
          </cell>
          <cell r="K5">
            <v>3</v>
          </cell>
        </row>
        <row r="6">
          <cell r="B6">
            <v>4</v>
          </cell>
          <cell r="F6">
            <v>4</v>
          </cell>
          <cell r="K6">
            <v>4</v>
          </cell>
        </row>
        <row r="7">
          <cell r="B7">
            <v>5</v>
          </cell>
          <cell r="F7">
            <v>5</v>
          </cell>
          <cell r="K7">
            <v>5</v>
          </cell>
        </row>
        <row r="8">
          <cell r="B8">
            <v>6</v>
          </cell>
          <cell r="C8">
            <v>1624.7610208821093</v>
          </cell>
          <cell r="D8">
            <v>62.3</v>
          </cell>
          <cell r="E8">
            <v>194</v>
          </cell>
          <cell r="F8">
            <v>6</v>
          </cell>
          <cell r="G8">
            <v>646.49651972175229</v>
          </cell>
          <cell r="H8">
            <v>5000.9095127623714</v>
          </cell>
          <cell r="I8">
            <v>5.0999999999999996</v>
          </cell>
          <cell r="J8">
            <v>7.23</v>
          </cell>
          <cell r="K8">
            <v>6</v>
          </cell>
        </row>
        <row r="9">
          <cell r="B9">
            <v>7</v>
          </cell>
          <cell r="C9">
            <v>1614.0880503121018</v>
          </cell>
          <cell r="D9">
            <v>61.2</v>
          </cell>
          <cell r="E9">
            <v>364</v>
          </cell>
          <cell r="F9">
            <v>7</v>
          </cell>
          <cell r="G9">
            <v>672.20125786065091</v>
          </cell>
          <cell r="H9">
            <v>5689.5597484193413</v>
          </cell>
          <cell r="I9">
            <v>5.03</v>
          </cell>
          <cell r="J9">
            <v>7.18</v>
          </cell>
          <cell r="K9">
            <v>7</v>
          </cell>
        </row>
        <row r="10">
          <cell r="B10">
            <v>8</v>
          </cell>
          <cell r="C10">
            <v>1594.9120433037692</v>
          </cell>
          <cell r="D10">
            <v>61.4</v>
          </cell>
          <cell r="E10">
            <v>289</v>
          </cell>
          <cell r="F10">
            <v>8</v>
          </cell>
          <cell r="G10">
            <v>623.54533152987915</v>
          </cell>
          <cell r="H10">
            <v>5422.895805148918</v>
          </cell>
          <cell r="I10">
            <v>5.0199999999999996</v>
          </cell>
          <cell r="J10">
            <v>7.24</v>
          </cell>
          <cell r="K10">
            <v>8</v>
          </cell>
          <cell r="M10">
            <v>0.48</v>
          </cell>
        </row>
        <row r="11">
          <cell r="B11">
            <v>9</v>
          </cell>
          <cell r="F11">
            <v>9</v>
          </cell>
          <cell r="K11">
            <v>9</v>
          </cell>
        </row>
        <row r="12">
          <cell r="B12">
            <v>10</v>
          </cell>
          <cell r="C12">
            <v>1641.9298854545809</v>
          </cell>
          <cell r="D12">
            <v>60.7</v>
          </cell>
          <cell r="E12">
            <v>369</v>
          </cell>
          <cell r="F12">
            <v>10</v>
          </cell>
          <cell r="G12">
            <v>581.29816036032798</v>
          </cell>
          <cell r="H12">
            <v>5229.6841374463565</v>
          </cell>
          <cell r="K12">
            <v>10</v>
          </cell>
        </row>
        <row r="13">
          <cell r="B13">
            <v>11</v>
          </cell>
          <cell r="C13">
            <v>2137.0637119075673</v>
          </cell>
          <cell r="D13">
            <v>60.5</v>
          </cell>
          <cell r="E13">
            <v>350</v>
          </cell>
          <cell r="F13">
            <v>11</v>
          </cell>
          <cell r="G13">
            <v>561.44044321230058</v>
          </cell>
          <cell r="H13">
            <v>4945.2631578859655</v>
          </cell>
          <cell r="K13">
            <v>11</v>
          </cell>
        </row>
        <row r="14">
          <cell r="B14">
            <v>12</v>
          </cell>
          <cell r="C14">
            <v>1882.5974026087874</v>
          </cell>
          <cell r="D14">
            <v>60.3</v>
          </cell>
          <cell r="E14">
            <v>275</v>
          </cell>
          <cell r="F14">
            <v>12</v>
          </cell>
          <cell r="G14">
            <v>554.80519480855003</v>
          </cell>
          <cell r="H14">
            <v>4431.1688311956286</v>
          </cell>
          <cell r="I14">
            <v>5.25</v>
          </cell>
          <cell r="J14">
            <v>7.17</v>
          </cell>
          <cell r="K14">
            <v>12</v>
          </cell>
        </row>
        <row r="15">
          <cell r="B15">
            <v>13</v>
          </cell>
          <cell r="C15">
            <v>1351.6137931023632</v>
          </cell>
          <cell r="D15">
            <v>60</v>
          </cell>
          <cell r="E15">
            <v>262</v>
          </cell>
          <cell r="F15">
            <v>13</v>
          </cell>
          <cell r="G15">
            <v>628.63448275811595</v>
          </cell>
          <cell r="H15">
            <v>3031.9448275837726</v>
          </cell>
          <cell r="I15">
            <v>5.25</v>
          </cell>
          <cell r="J15">
            <v>7.23</v>
          </cell>
          <cell r="K15">
            <v>13</v>
          </cell>
        </row>
        <row r="16">
          <cell r="B16">
            <v>14</v>
          </cell>
          <cell r="C16">
            <v>1708.4081632612472</v>
          </cell>
          <cell r="D16">
            <v>60.5</v>
          </cell>
          <cell r="E16">
            <v>342</v>
          </cell>
          <cell r="F16">
            <v>14</v>
          </cell>
          <cell r="G16">
            <v>491.75510203964802</v>
          </cell>
          <cell r="H16">
            <v>4415.0204081527754</v>
          </cell>
          <cell r="K16">
            <v>14</v>
          </cell>
        </row>
        <row r="17">
          <cell r="B17">
            <v>15</v>
          </cell>
          <cell r="C17">
            <v>1783.7288135654812</v>
          </cell>
          <cell r="D17">
            <v>60.3</v>
          </cell>
          <cell r="E17">
            <v>330</v>
          </cell>
          <cell r="F17">
            <v>15</v>
          </cell>
          <cell r="G17">
            <v>627.45762712081068</v>
          </cell>
          <cell r="H17">
            <v>4448.1355932356983</v>
          </cell>
          <cell r="I17">
            <v>5.14</v>
          </cell>
          <cell r="J17">
            <v>7.32</v>
          </cell>
          <cell r="K17">
            <v>15</v>
          </cell>
          <cell r="M17">
            <v>0.60750000000000004</v>
          </cell>
        </row>
        <row r="18">
          <cell r="B18">
            <v>16</v>
          </cell>
          <cell r="C18">
            <v>1964.1926345566958</v>
          </cell>
          <cell r="D18">
            <v>60</v>
          </cell>
          <cell r="E18">
            <v>323</v>
          </cell>
          <cell r="F18">
            <v>16</v>
          </cell>
          <cell r="G18">
            <v>509.91501416321285</v>
          </cell>
          <cell r="H18">
            <v>4303.6827195375172</v>
          </cell>
          <cell r="I18">
            <v>5.19</v>
          </cell>
          <cell r="J18">
            <v>7.15</v>
          </cell>
          <cell r="K18">
            <v>16</v>
          </cell>
        </row>
        <row r="19">
          <cell r="B19">
            <v>17</v>
          </cell>
          <cell r="C19" t="str">
            <v xml:space="preserve"> </v>
          </cell>
          <cell r="D19">
            <v>59.9</v>
          </cell>
          <cell r="E19">
            <v>358</v>
          </cell>
          <cell r="F19">
            <v>17</v>
          </cell>
          <cell r="K19">
            <v>17</v>
          </cell>
        </row>
        <row r="20">
          <cell r="B20">
            <v>18</v>
          </cell>
          <cell r="C20">
            <v>4249.6099843932016</v>
          </cell>
          <cell r="D20">
            <v>59.6</v>
          </cell>
          <cell r="E20">
            <v>432</v>
          </cell>
          <cell r="F20">
            <v>18</v>
          </cell>
          <cell r="G20">
            <v>1207.8627145068253</v>
          </cell>
          <cell r="H20">
            <v>9188.8923556808768</v>
          </cell>
          <cell r="I20">
            <v>5.35</v>
          </cell>
          <cell r="J20">
            <v>7.13</v>
          </cell>
          <cell r="K20">
            <v>18</v>
          </cell>
        </row>
        <row r="21">
          <cell r="B21">
            <v>19</v>
          </cell>
          <cell r="C21">
            <v>1870.9202454067904</v>
          </cell>
          <cell r="D21">
            <v>59.5</v>
          </cell>
          <cell r="E21">
            <v>295</v>
          </cell>
          <cell r="F21">
            <v>19</v>
          </cell>
          <cell r="G21">
            <v>596.80981595347771</v>
          </cell>
          <cell r="H21">
            <v>4032.3926380540893</v>
          </cell>
          <cell r="I21">
            <v>5.13</v>
          </cell>
          <cell r="J21">
            <v>7.13</v>
          </cell>
          <cell r="K21">
            <v>19</v>
          </cell>
        </row>
        <row r="22">
          <cell r="B22">
            <v>20</v>
          </cell>
          <cell r="F22">
            <v>20</v>
          </cell>
          <cell r="K22">
            <v>20</v>
          </cell>
        </row>
        <row r="23">
          <cell r="B23">
            <v>21</v>
          </cell>
          <cell r="C23">
            <v>1945.1308900499848</v>
          </cell>
          <cell r="D23">
            <v>60.2</v>
          </cell>
          <cell r="E23">
            <v>320</v>
          </cell>
          <cell r="F23">
            <v>21</v>
          </cell>
          <cell r="G23">
            <v>549.36125654383295</v>
          </cell>
          <cell r="H23">
            <v>4200.8795811467116</v>
          </cell>
          <cell r="I23">
            <v>5.04</v>
          </cell>
          <cell r="J23">
            <v>7.21</v>
          </cell>
          <cell r="K23">
            <v>21</v>
          </cell>
          <cell r="M23">
            <v>0.63666666666666671</v>
          </cell>
        </row>
        <row r="24">
          <cell r="B24">
            <v>22</v>
          </cell>
          <cell r="C24">
            <v>2052.378947363391</v>
          </cell>
          <cell r="D24">
            <v>61.1</v>
          </cell>
          <cell r="E24">
            <v>480</v>
          </cell>
          <cell r="F24">
            <v>22</v>
          </cell>
          <cell r="G24">
            <v>496.16842105141558</v>
          </cell>
          <cell r="H24">
            <v>4417.0105263049636</v>
          </cell>
          <cell r="K24">
            <v>22</v>
          </cell>
        </row>
        <row r="25">
          <cell r="B25">
            <v>23</v>
          </cell>
          <cell r="C25">
            <v>1579</v>
          </cell>
          <cell r="D25">
            <v>62.3</v>
          </cell>
          <cell r="E25">
            <v>329</v>
          </cell>
          <cell r="F25">
            <v>23</v>
          </cell>
          <cell r="G25">
            <v>532</v>
          </cell>
          <cell r="H25">
            <v>4566</v>
          </cell>
          <cell r="I25">
            <v>5.19</v>
          </cell>
          <cell r="J25">
            <v>7.13</v>
          </cell>
          <cell r="K25">
            <v>23</v>
          </cell>
        </row>
        <row r="26">
          <cell r="B26">
            <v>24</v>
          </cell>
          <cell r="C26">
            <v>1348.3183391046909</v>
          </cell>
          <cell r="D26">
            <v>63.2</v>
          </cell>
          <cell r="E26">
            <v>413</v>
          </cell>
          <cell r="F26">
            <v>24</v>
          </cell>
          <cell r="G26">
            <v>577.99307958663769</v>
          </cell>
          <cell r="H26">
            <v>5140.1522491515125</v>
          </cell>
          <cell r="K26">
            <v>24</v>
          </cell>
        </row>
        <row r="27">
          <cell r="B27">
            <v>25</v>
          </cell>
          <cell r="C27">
            <v>1535.33793103325</v>
          </cell>
          <cell r="D27">
            <v>63.2</v>
          </cell>
          <cell r="E27">
            <v>333</v>
          </cell>
          <cell r="F27">
            <v>25</v>
          </cell>
          <cell r="G27">
            <v>504.49655172373286</v>
          </cell>
          <cell r="H27">
            <v>6031.117241374468</v>
          </cell>
          <cell r="I27">
            <v>5.1100000000000003</v>
          </cell>
          <cell r="J27">
            <v>7.13</v>
          </cell>
          <cell r="K27">
            <v>25</v>
          </cell>
        </row>
        <row r="28">
          <cell r="B28">
            <v>26</v>
          </cell>
          <cell r="C28">
            <v>1536</v>
          </cell>
          <cell r="D28">
            <v>62</v>
          </cell>
          <cell r="E28">
            <v>367</v>
          </cell>
          <cell r="F28">
            <v>26</v>
          </cell>
          <cell r="G28">
            <v>530</v>
          </cell>
          <cell r="H28">
            <v>5710</v>
          </cell>
          <cell r="I28">
            <v>5.43</v>
          </cell>
          <cell r="J28">
            <v>7.05</v>
          </cell>
          <cell r="K28">
            <v>26</v>
          </cell>
        </row>
        <row r="29">
          <cell r="B29">
            <v>27</v>
          </cell>
          <cell r="C29">
            <v>2178.4359861661897</v>
          </cell>
          <cell r="D29">
            <v>61.8</v>
          </cell>
          <cell r="E29">
            <v>400</v>
          </cell>
          <cell r="F29">
            <v>27</v>
          </cell>
          <cell r="G29">
            <v>589.95155709532673</v>
          </cell>
          <cell r="H29">
            <v>5443.1003460383017</v>
          </cell>
          <cell r="I29">
            <v>5.19</v>
          </cell>
          <cell r="J29">
            <v>7.03</v>
          </cell>
          <cell r="K29">
            <v>27</v>
          </cell>
        </row>
        <row r="30">
          <cell r="B30">
            <v>28</v>
          </cell>
          <cell r="C30">
            <v>1749.0731707260315</v>
          </cell>
          <cell r="D30">
            <v>60.7</v>
          </cell>
          <cell r="E30">
            <v>263</v>
          </cell>
          <cell r="F30">
            <v>28</v>
          </cell>
          <cell r="G30">
            <v>437.51916376164644</v>
          </cell>
          <cell r="H30">
            <v>4815.7212543397736</v>
          </cell>
          <cell r="I30">
            <v>5.13</v>
          </cell>
          <cell r="J30">
            <v>6.99</v>
          </cell>
          <cell r="K30">
            <v>28</v>
          </cell>
        </row>
        <row r="31">
          <cell r="B31">
            <v>29</v>
          </cell>
          <cell r="C31">
            <v>1784.2827442836081</v>
          </cell>
          <cell r="D31">
            <v>61.9</v>
          </cell>
          <cell r="E31">
            <v>196</v>
          </cell>
          <cell r="F31">
            <v>29</v>
          </cell>
          <cell r="G31">
            <v>540.87318087344272</v>
          </cell>
          <cell r="H31">
            <v>5414.7193347219554</v>
          </cell>
          <cell r="I31">
            <v>5.35</v>
          </cell>
          <cell r="J31">
            <v>7.12</v>
          </cell>
          <cell r="K31">
            <v>29</v>
          </cell>
          <cell r="M31">
            <v>0.83666666666666656</v>
          </cell>
        </row>
        <row r="32">
          <cell r="B32">
            <v>30</v>
          </cell>
          <cell r="C32">
            <v>588.49545136641245</v>
          </cell>
          <cell r="F32">
            <v>30</v>
          </cell>
          <cell r="G32">
            <v>544.15675297579241</v>
          </cell>
          <cell r="H32">
            <v>1960.9797060942442</v>
          </cell>
          <cell r="K32">
            <v>30</v>
          </cell>
        </row>
        <row r="33">
          <cell r="B33">
            <v>31</v>
          </cell>
          <cell r="C33">
            <v>1756.4265129573985</v>
          </cell>
          <cell r="F33">
            <v>31</v>
          </cell>
          <cell r="G33">
            <v>531.18155619266861</v>
          </cell>
          <cell r="H33">
            <v>5313.8904898805631</v>
          </cell>
          <cell r="K33">
            <v>31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workbookViewId="0">
      <selection sqref="A1:XFD1048576"/>
    </sheetView>
  </sheetViews>
  <sheetFormatPr baseColWidth="10" defaultRowHeight="15" x14ac:dyDescent="0"/>
  <cols>
    <col min="1" max="1" width="11.6640625" customWidth="1"/>
    <col min="2" max="2" width="6.33203125" customWidth="1"/>
    <col min="3" max="3" width="10.83203125" style="41"/>
    <col min="4" max="5" width="10.83203125" style="42"/>
    <col min="6" max="6" width="4.6640625" style="27" customWidth="1"/>
    <col min="7" max="8" width="10.83203125" style="43"/>
    <col min="9" max="9" width="10.6640625" style="44" customWidth="1"/>
    <col min="10" max="10" width="8" style="44" customWidth="1"/>
    <col min="11" max="11" width="4.6640625" style="45" customWidth="1"/>
    <col min="12" max="12" width="10.83203125" style="46"/>
    <col min="13" max="13" width="10.83203125" style="47"/>
    <col min="14" max="14" width="5.1640625" customWidth="1"/>
    <col min="15" max="17" width="10.83203125" style="31"/>
    <col min="18" max="20" width="8.6640625" style="31" customWidth="1"/>
    <col min="21" max="21" width="8.6640625" style="32" customWidth="1"/>
    <col min="22" max="23" width="9.83203125" customWidth="1"/>
  </cols>
  <sheetData>
    <row r="1" spans="1:25" s="1" customFormat="1" ht="18">
      <c r="A1" s="1" t="s">
        <v>0</v>
      </c>
      <c r="C1" s="2"/>
      <c r="D1" s="3"/>
      <c r="E1" s="3"/>
      <c r="F1" s="4"/>
      <c r="G1" s="5"/>
      <c r="H1" s="5"/>
      <c r="I1" s="6"/>
      <c r="J1" s="6"/>
      <c r="K1" s="7"/>
      <c r="L1" s="8"/>
      <c r="M1" s="9"/>
      <c r="O1" s="10"/>
      <c r="P1" s="10"/>
      <c r="Q1" s="10"/>
      <c r="R1" s="10"/>
      <c r="S1" s="10"/>
      <c r="T1" s="10"/>
      <c r="U1" s="11"/>
    </row>
    <row r="2" spans="1:25" s="12" customFormat="1" ht="75">
      <c r="A2" s="12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6" t="s">
        <v>6</v>
      </c>
      <c r="G2" s="17" t="s">
        <v>7</v>
      </c>
      <c r="H2" s="17" t="s">
        <v>8</v>
      </c>
      <c r="I2" s="18" t="s">
        <v>9</v>
      </c>
      <c r="J2" s="19" t="s">
        <v>10</v>
      </c>
      <c r="K2" s="20" t="s">
        <v>6</v>
      </c>
      <c r="L2" s="21" t="s">
        <v>11</v>
      </c>
      <c r="M2" s="22" t="s">
        <v>12</v>
      </c>
      <c r="N2" s="16" t="s">
        <v>6</v>
      </c>
      <c r="O2" s="23" t="s">
        <v>13</v>
      </c>
      <c r="P2" s="23" t="s">
        <v>14</v>
      </c>
      <c r="Q2" s="23" t="s">
        <v>15</v>
      </c>
      <c r="R2" s="23" t="s">
        <v>16</v>
      </c>
      <c r="S2" s="23" t="s">
        <v>17</v>
      </c>
      <c r="T2" s="23" t="s">
        <v>18</v>
      </c>
      <c r="U2" s="24"/>
      <c r="V2" s="12" t="s">
        <v>19</v>
      </c>
      <c r="W2" s="12" t="s">
        <v>20</v>
      </c>
      <c r="X2" s="12" t="s">
        <v>21</v>
      </c>
      <c r="Y2" s="12" t="s">
        <v>22</v>
      </c>
    </row>
    <row r="3" spans="1:25">
      <c r="A3" t="s">
        <v>23</v>
      </c>
      <c r="B3" s="25">
        <v>1</v>
      </c>
      <c r="C3" s="26">
        <v>1691.5716969334733</v>
      </c>
      <c r="D3" s="27">
        <v>60.3</v>
      </c>
      <c r="E3" s="28">
        <v>222</v>
      </c>
      <c r="F3" s="25">
        <v>1</v>
      </c>
      <c r="G3" s="26">
        <v>694.30181590553013</v>
      </c>
      <c r="H3" s="26">
        <v>4035.967438952146</v>
      </c>
      <c r="I3" s="29">
        <v>5.0199999999999996</v>
      </c>
      <c r="J3" s="28">
        <v>7.22</v>
      </c>
      <c r="K3" s="25">
        <v>1</v>
      </c>
      <c r="L3"/>
      <c r="M3" s="30">
        <f>AVERAGE(0.36,0.42,0.47)</f>
        <v>0.41666666666666669</v>
      </c>
      <c r="N3" s="25">
        <v>1</v>
      </c>
      <c r="O3" s="31">
        <f>AVERAGE(1950,1750,2055)</f>
        <v>1918.3333333333333</v>
      </c>
      <c r="Q3" s="31">
        <f>AVERAGE(1108,925,1188)</f>
        <v>1073.6666666666667</v>
      </c>
      <c r="R3" s="31">
        <f>AVERAGE(6175,6295,6330)</f>
        <v>6266.666666666667</v>
      </c>
      <c r="S3" s="31">
        <f>AVERAGE(4455,4150,4055)</f>
        <v>4220</v>
      </c>
      <c r="T3" s="31">
        <f>AVERAGE(1595,1738,1895)</f>
        <v>1742.6666666666667</v>
      </c>
    </row>
    <row r="4" spans="1:25">
      <c r="A4" t="s">
        <v>24</v>
      </c>
      <c r="B4" s="25">
        <v>2</v>
      </c>
      <c r="C4" s="26">
        <v>1939.020172913265</v>
      </c>
      <c r="D4" s="27"/>
      <c r="E4" s="28">
        <v>174</v>
      </c>
      <c r="F4" s="25">
        <v>2</v>
      </c>
      <c r="G4" s="26">
        <v>641.15273775302182</v>
      </c>
      <c r="H4" s="26">
        <v>4885.4178674417144</v>
      </c>
      <c r="I4" s="29">
        <v>5.0599999999999996</v>
      </c>
      <c r="J4" s="28">
        <v>7.22</v>
      </c>
      <c r="K4" s="25">
        <v>2</v>
      </c>
      <c r="L4"/>
      <c r="M4"/>
      <c r="N4" s="25">
        <v>2</v>
      </c>
    </row>
    <row r="5" spans="1:25">
      <c r="A5" t="s">
        <v>24</v>
      </c>
      <c r="B5" s="25">
        <v>3</v>
      </c>
      <c r="C5" s="26">
        <v>1746.7826086912314</v>
      </c>
      <c r="D5" s="27"/>
      <c r="E5" s="28">
        <v>266</v>
      </c>
      <c r="F5" s="25">
        <v>3</v>
      </c>
      <c r="G5" s="26">
        <v>590.60869565067924</v>
      </c>
      <c r="H5" s="26">
        <v>5017.0434782481725</v>
      </c>
      <c r="I5" s="29">
        <v>5.04</v>
      </c>
      <c r="J5" s="28">
        <v>7.22</v>
      </c>
      <c r="K5" s="25">
        <v>3</v>
      </c>
      <c r="L5"/>
      <c r="M5"/>
      <c r="N5" s="25">
        <v>3</v>
      </c>
    </row>
    <row r="6" spans="1:25">
      <c r="B6" s="25">
        <v>4</v>
      </c>
      <c r="C6" s="26"/>
      <c r="D6" s="27"/>
      <c r="E6" s="28"/>
      <c r="F6" s="25">
        <v>4</v>
      </c>
      <c r="G6" s="26"/>
      <c r="H6" s="26"/>
      <c r="I6" s="29"/>
      <c r="J6" s="28"/>
      <c r="K6" s="25">
        <v>4</v>
      </c>
      <c r="L6"/>
      <c r="M6"/>
      <c r="N6" s="25">
        <v>4</v>
      </c>
    </row>
    <row r="7" spans="1:25">
      <c r="B7" s="25">
        <v>5</v>
      </c>
      <c r="C7" s="26"/>
      <c r="D7" s="27"/>
      <c r="E7" s="28"/>
      <c r="F7" s="25">
        <v>5</v>
      </c>
      <c r="G7" s="26"/>
      <c r="H7" s="26"/>
      <c r="I7" s="29"/>
      <c r="J7" s="28"/>
      <c r="K7" s="25">
        <v>5</v>
      </c>
      <c r="L7"/>
      <c r="M7"/>
      <c r="N7" s="25">
        <v>5</v>
      </c>
    </row>
    <row r="8" spans="1:25">
      <c r="B8" s="25">
        <v>6</v>
      </c>
      <c r="C8" s="26">
        <v>1624.7610208821093</v>
      </c>
      <c r="D8" s="27">
        <v>62.3</v>
      </c>
      <c r="E8" s="28">
        <v>194</v>
      </c>
      <c r="F8" s="25">
        <v>6</v>
      </c>
      <c r="G8" s="26">
        <v>646.49651972175229</v>
      </c>
      <c r="H8" s="26">
        <v>5000.9095127623714</v>
      </c>
      <c r="I8" s="29">
        <v>5.0999999999999996</v>
      </c>
      <c r="J8" s="28">
        <v>7.23</v>
      </c>
      <c r="K8" s="25">
        <v>6</v>
      </c>
      <c r="L8"/>
      <c r="M8"/>
      <c r="N8" s="25">
        <v>6</v>
      </c>
    </row>
    <row r="9" spans="1:25">
      <c r="B9" s="25">
        <v>7</v>
      </c>
      <c r="C9" s="26">
        <v>1614.0880503121018</v>
      </c>
      <c r="D9" s="27">
        <v>61.2</v>
      </c>
      <c r="E9" s="28">
        <v>364</v>
      </c>
      <c r="F9" s="25">
        <v>7</v>
      </c>
      <c r="G9" s="26">
        <v>672.20125786065091</v>
      </c>
      <c r="H9" s="26">
        <v>5689.5597484193413</v>
      </c>
      <c r="I9" s="29">
        <v>5.03</v>
      </c>
      <c r="J9" s="28">
        <v>7.18</v>
      </c>
      <c r="K9" s="25">
        <v>7</v>
      </c>
      <c r="L9"/>
      <c r="M9"/>
      <c r="N9" s="25">
        <v>7</v>
      </c>
    </row>
    <row r="10" spans="1:25">
      <c r="A10" t="s">
        <v>25</v>
      </c>
      <c r="B10" s="25">
        <v>8</v>
      </c>
      <c r="C10" s="33">
        <v>1594.9120433037692</v>
      </c>
      <c r="D10" s="27">
        <v>61.4</v>
      </c>
      <c r="E10" s="28">
        <v>289</v>
      </c>
      <c r="F10" s="25">
        <v>8</v>
      </c>
      <c r="G10" s="26">
        <v>623.54533152987915</v>
      </c>
      <c r="H10" s="26">
        <v>5422.895805148918</v>
      </c>
      <c r="I10" s="29">
        <v>5.0199999999999996</v>
      </c>
      <c r="J10" s="28">
        <v>7.24</v>
      </c>
      <c r="K10" s="25">
        <v>8</v>
      </c>
      <c r="L10"/>
      <c r="M10" s="30">
        <f>AVERAGE(0.54,0.43,0.47)</f>
        <v>0.48</v>
      </c>
      <c r="N10" s="25">
        <v>8</v>
      </c>
      <c r="O10" s="31">
        <f>AVERAGE(2400,2500,2450)</f>
        <v>2450</v>
      </c>
      <c r="Q10" s="31">
        <f>AVERAGE(1600,1675,1625)</f>
        <v>1633.3333333333333</v>
      </c>
      <c r="R10" s="31">
        <f>AVERAGE(6600,5550,6100)</f>
        <v>6083.333333333333</v>
      </c>
      <c r="S10" s="31">
        <f>AVERAGE(3975,3750,3900)</f>
        <v>3875</v>
      </c>
      <c r="T10" s="31">
        <f>AVERAGE(2150,1600,1850)</f>
        <v>1866.6666666666667</v>
      </c>
    </row>
    <row r="11" spans="1:25">
      <c r="B11" s="25">
        <v>9</v>
      </c>
      <c r="C11" s="33"/>
      <c r="D11" s="27"/>
      <c r="E11" s="28"/>
      <c r="F11" s="25">
        <v>9</v>
      </c>
      <c r="G11" s="26"/>
      <c r="H11" s="26"/>
      <c r="I11" s="29"/>
      <c r="J11" s="28"/>
      <c r="K11" s="25">
        <v>9</v>
      </c>
      <c r="L11"/>
      <c r="M11" s="30"/>
      <c r="N11" s="25">
        <v>9</v>
      </c>
    </row>
    <row r="12" spans="1:25">
      <c r="A12" t="s">
        <v>26</v>
      </c>
      <c r="B12" s="25">
        <v>10</v>
      </c>
      <c r="C12" s="26">
        <v>1641.9298854545809</v>
      </c>
      <c r="D12" s="27">
        <v>60.7</v>
      </c>
      <c r="E12" s="28">
        <v>369</v>
      </c>
      <c r="F12" s="25">
        <v>10</v>
      </c>
      <c r="G12" s="26">
        <v>581.29816036032798</v>
      </c>
      <c r="H12" s="26">
        <v>5229.6841374463565</v>
      </c>
      <c r="I12" s="29"/>
      <c r="J12" s="28"/>
      <c r="K12" s="25">
        <v>10</v>
      </c>
      <c r="L12"/>
      <c r="M12"/>
      <c r="N12" s="25">
        <v>10</v>
      </c>
    </row>
    <row r="13" spans="1:25">
      <c r="B13" s="25">
        <v>11</v>
      </c>
      <c r="C13" s="26">
        <v>2137.0637119075673</v>
      </c>
      <c r="D13" s="27">
        <v>60.5</v>
      </c>
      <c r="E13" s="28">
        <v>350</v>
      </c>
      <c r="F13" s="25">
        <v>11</v>
      </c>
      <c r="G13" s="26">
        <v>561.44044321230058</v>
      </c>
      <c r="H13" s="26">
        <v>4945.2631578859655</v>
      </c>
      <c r="I13" s="29"/>
      <c r="J13" s="28"/>
      <c r="K13" s="25">
        <v>11</v>
      </c>
      <c r="L13"/>
      <c r="M13"/>
      <c r="N13" s="25">
        <v>11</v>
      </c>
    </row>
    <row r="14" spans="1:25">
      <c r="A14" t="s">
        <v>27</v>
      </c>
      <c r="B14" s="25">
        <v>12</v>
      </c>
      <c r="C14" s="33">
        <v>1882.5974026087874</v>
      </c>
      <c r="D14" s="27">
        <v>60.3</v>
      </c>
      <c r="E14" s="28">
        <v>275</v>
      </c>
      <c r="F14" s="25">
        <v>12</v>
      </c>
      <c r="G14" s="26">
        <v>554.80519480855003</v>
      </c>
      <c r="H14" s="26">
        <v>4431.1688311956286</v>
      </c>
      <c r="I14" s="29">
        <v>5.25</v>
      </c>
      <c r="J14" s="28">
        <v>7.17</v>
      </c>
      <c r="K14" s="25">
        <v>12</v>
      </c>
      <c r="L14"/>
      <c r="M14"/>
      <c r="N14" s="25">
        <v>12</v>
      </c>
    </row>
    <row r="15" spans="1:25">
      <c r="B15" s="25">
        <v>13</v>
      </c>
      <c r="C15" s="26">
        <v>1351.6137931023632</v>
      </c>
      <c r="D15" s="27">
        <v>60</v>
      </c>
      <c r="E15" s="28">
        <v>262</v>
      </c>
      <c r="F15" s="25">
        <v>13</v>
      </c>
      <c r="G15" s="26">
        <v>628.63448275811595</v>
      </c>
      <c r="H15" s="26">
        <v>3031.9448275837726</v>
      </c>
      <c r="I15" s="29">
        <v>5.25</v>
      </c>
      <c r="J15" s="28">
        <v>7.23</v>
      </c>
      <c r="K15" s="25">
        <v>13</v>
      </c>
      <c r="L15"/>
      <c r="M15"/>
      <c r="N15" s="25">
        <v>13</v>
      </c>
    </row>
    <row r="16" spans="1:25">
      <c r="B16" s="25">
        <v>14</v>
      </c>
      <c r="C16" s="26">
        <v>1708.4081632612472</v>
      </c>
      <c r="D16" s="27">
        <v>60.5</v>
      </c>
      <c r="E16" s="28">
        <v>342</v>
      </c>
      <c r="F16" s="25">
        <v>14</v>
      </c>
      <c r="G16" s="26">
        <v>491.75510203964802</v>
      </c>
      <c r="H16" s="26">
        <v>4415.0204081527754</v>
      </c>
      <c r="I16" s="29"/>
      <c r="J16" s="28"/>
      <c r="K16" s="25">
        <v>14</v>
      </c>
      <c r="L16"/>
      <c r="M16"/>
      <c r="N16" s="25">
        <v>14</v>
      </c>
    </row>
    <row r="17" spans="1:20" customFormat="1">
      <c r="B17" s="25">
        <v>15</v>
      </c>
      <c r="C17" s="26">
        <v>1783.7288135654812</v>
      </c>
      <c r="D17" s="27">
        <v>60.3</v>
      </c>
      <c r="E17" s="28">
        <v>330</v>
      </c>
      <c r="F17" s="25">
        <v>15</v>
      </c>
      <c r="G17" s="26">
        <v>627.45762712081068</v>
      </c>
      <c r="H17" s="26">
        <v>4448.1355932356983</v>
      </c>
      <c r="I17" s="29">
        <v>5.14</v>
      </c>
      <c r="J17" s="28">
        <v>7.32</v>
      </c>
      <c r="K17" s="25">
        <v>15</v>
      </c>
      <c r="M17" s="30">
        <f>AVERAGE(0.54,0.6,0.72,0.57)</f>
        <v>0.60750000000000004</v>
      </c>
      <c r="N17" s="25">
        <v>15</v>
      </c>
      <c r="O17" s="31">
        <f>AVERAGE(2800,2825,2850)</f>
        <v>2825</v>
      </c>
      <c r="P17" s="31"/>
      <c r="Q17" s="31">
        <f>AVERAGE(1975,2025,2075)</f>
        <v>2025</v>
      </c>
      <c r="R17" s="31">
        <f>AVERAGE(6275,6275,6125,6000)</f>
        <v>6168.75</v>
      </c>
      <c r="S17" s="31">
        <f>AVERAGE(3875,3675,3400,3600)</f>
        <v>3637.5</v>
      </c>
      <c r="T17" s="31">
        <f>AVERAGE(2100,2200,2450,2050)</f>
        <v>2200</v>
      </c>
    </row>
    <row r="18" spans="1:20" customFormat="1">
      <c r="A18" t="s">
        <v>28</v>
      </c>
      <c r="B18" s="25">
        <v>16</v>
      </c>
      <c r="C18" s="26">
        <v>1964.1926345566958</v>
      </c>
      <c r="D18" s="27">
        <v>60</v>
      </c>
      <c r="E18" s="28">
        <v>323</v>
      </c>
      <c r="F18" s="25">
        <v>16</v>
      </c>
      <c r="G18" s="26">
        <v>509.91501416321285</v>
      </c>
      <c r="H18" s="26">
        <v>4303.6827195375172</v>
      </c>
      <c r="I18" s="29">
        <v>5.19</v>
      </c>
      <c r="J18" s="28">
        <v>7.15</v>
      </c>
      <c r="K18" s="25">
        <v>16</v>
      </c>
      <c r="N18" s="25">
        <v>16</v>
      </c>
      <c r="O18" s="31"/>
      <c r="P18" s="31"/>
      <c r="Q18" s="31"/>
      <c r="R18" s="31"/>
      <c r="S18" s="31"/>
      <c r="T18" s="31"/>
    </row>
    <row r="19" spans="1:20" customFormat="1">
      <c r="B19" s="25">
        <v>17</v>
      </c>
      <c r="C19" s="26" t="s">
        <v>29</v>
      </c>
      <c r="D19" s="27">
        <v>59.9</v>
      </c>
      <c r="E19" s="28">
        <v>358</v>
      </c>
      <c r="F19" s="25">
        <v>17</v>
      </c>
      <c r="I19" s="29"/>
      <c r="J19" s="28"/>
      <c r="K19" s="25">
        <v>17</v>
      </c>
      <c r="N19" s="25">
        <v>17</v>
      </c>
      <c r="O19" s="31"/>
      <c r="P19" s="31"/>
      <c r="Q19" s="31"/>
      <c r="R19" s="31"/>
      <c r="S19" s="31"/>
      <c r="T19" s="31"/>
    </row>
    <row r="20" spans="1:20" customFormat="1">
      <c r="A20" t="s">
        <v>30</v>
      </c>
      <c r="B20" s="25">
        <v>18</v>
      </c>
      <c r="C20" s="26">
        <v>4249.6099843932016</v>
      </c>
      <c r="D20" s="27">
        <v>59.6</v>
      </c>
      <c r="E20" s="28">
        <v>432</v>
      </c>
      <c r="F20" s="25">
        <v>18</v>
      </c>
      <c r="G20" s="26">
        <v>1207.8627145068253</v>
      </c>
      <c r="H20" s="26">
        <v>9188.8923556808768</v>
      </c>
      <c r="I20" s="29">
        <v>5.35</v>
      </c>
      <c r="J20" s="28">
        <v>7.13</v>
      </c>
      <c r="K20" s="25">
        <v>18</v>
      </c>
      <c r="N20" s="25">
        <v>18</v>
      </c>
      <c r="O20" s="31"/>
      <c r="P20" s="31"/>
      <c r="Q20" s="31"/>
      <c r="R20" s="31"/>
      <c r="S20" s="31"/>
      <c r="T20" s="31"/>
    </row>
    <row r="21" spans="1:20" customFormat="1">
      <c r="B21" s="25">
        <v>19</v>
      </c>
      <c r="C21" s="26">
        <v>1870.9202454067904</v>
      </c>
      <c r="D21" s="27">
        <v>59.5</v>
      </c>
      <c r="E21" s="28">
        <v>295</v>
      </c>
      <c r="F21" s="25">
        <v>19</v>
      </c>
      <c r="G21" s="26">
        <v>596.80981595347771</v>
      </c>
      <c r="H21" s="26">
        <v>4032.3926380540893</v>
      </c>
      <c r="I21" s="29">
        <v>5.13</v>
      </c>
      <c r="J21" s="28">
        <v>7.13</v>
      </c>
      <c r="K21" s="25">
        <v>19</v>
      </c>
      <c r="N21" s="25">
        <v>19</v>
      </c>
      <c r="O21" s="31"/>
      <c r="P21" s="31"/>
      <c r="Q21" s="31"/>
      <c r="R21" s="31"/>
      <c r="S21" s="31"/>
      <c r="T21" s="31"/>
    </row>
    <row r="22" spans="1:20" customFormat="1">
      <c r="B22" s="25">
        <v>20</v>
      </c>
      <c r="F22" s="25">
        <v>20</v>
      </c>
      <c r="G22" s="26"/>
      <c r="H22" s="26"/>
      <c r="I22" s="29"/>
      <c r="J22" s="28"/>
      <c r="K22" s="25">
        <v>20</v>
      </c>
      <c r="N22" s="25">
        <v>20</v>
      </c>
      <c r="O22" s="31"/>
      <c r="P22" s="31"/>
      <c r="Q22" s="31"/>
      <c r="R22" s="31"/>
      <c r="S22" s="31"/>
      <c r="T22" s="31"/>
    </row>
    <row r="23" spans="1:20" customFormat="1">
      <c r="A23" t="s">
        <v>31</v>
      </c>
      <c r="B23" s="25">
        <v>21</v>
      </c>
      <c r="C23" s="33">
        <v>1945.1308900499848</v>
      </c>
      <c r="D23" s="27">
        <v>60.2</v>
      </c>
      <c r="E23" s="28">
        <v>320</v>
      </c>
      <c r="F23" s="25">
        <v>21</v>
      </c>
      <c r="G23" s="33">
        <v>549.36125654383295</v>
      </c>
      <c r="H23" s="33">
        <v>4200.8795811467116</v>
      </c>
      <c r="I23" s="29">
        <v>5.04</v>
      </c>
      <c r="J23" s="28">
        <v>7.21</v>
      </c>
      <c r="K23" s="25">
        <v>21</v>
      </c>
      <c r="M23" s="30">
        <f>AVERAGE(0.6,0.66,0.65)</f>
        <v>0.63666666666666671</v>
      </c>
      <c r="N23" s="25">
        <v>21</v>
      </c>
      <c r="O23" s="31">
        <f>AVERAGE(2450,2550,2475)</f>
        <v>2491.6666666666665</v>
      </c>
      <c r="P23" s="31"/>
      <c r="Q23" s="31">
        <f>AVERAGE(1700,1775,1700)</f>
        <v>1725</v>
      </c>
      <c r="R23" s="31">
        <f>AVERAGE(6174,6025,6000)</f>
        <v>6066.333333333333</v>
      </c>
      <c r="S23" s="31">
        <f>AVERAGE(3600,3350,3425)</f>
        <v>3458.3333333333335</v>
      </c>
      <c r="T23" s="31">
        <f>AVERAGE(2150,2225,2225)</f>
        <v>2200</v>
      </c>
    </row>
    <row r="24" spans="1:20" customFormat="1">
      <c r="A24" t="s">
        <v>32</v>
      </c>
      <c r="B24" s="25">
        <v>22</v>
      </c>
      <c r="C24" s="26">
        <v>2052.378947363391</v>
      </c>
      <c r="D24" s="27">
        <v>61.1</v>
      </c>
      <c r="E24" s="28">
        <v>480</v>
      </c>
      <c r="F24" s="25">
        <v>22</v>
      </c>
      <c r="G24" s="26">
        <v>496.16842105141558</v>
      </c>
      <c r="H24" s="26">
        <v>4417.0105263049636</v>
      </c>
      <c r="I24" s="29"/>
      <c r="J24" s="28"/>
      <c r="K24" s="25">
        <v>22</v>
      </c>
      <c r="N24" s="25">
        <v>22</v>
      </c>
      <c r="O24" s="31" t="s">
        <v>29</v>
      </c>
      <c r="P24" s="31"/>
      <c r="Q24" s="31" t="s">
        <v>29</v>
      </c>
      <c r="R24" s="31" t="s">
        <v>29</v>
      </c>
      <c r="S24" s="31" t="s">
        <v>29</v>
      </c>
      <c r="T24" s="31" t="s">
        <v>29</v>
      </c>
    </row>
    <row r="25" spans="1:20" customFormat="1">
      <c r="A25" t="s">
        <v>33</v>
      </c>
      <c r="B25" s="25">
        <v>23</v>
      </c>
      <c r="C25" s="26">
        <v>1579</v>
      </c>
      <c r="D25" s="27">
        <v>62.3</v>
      </c>
      <c r="E25" s="28">
        <v>329</v>
      </c>
      <c r="F25" s="25">
        <v>23</v>
      </c>
      <c r="G25" s="26">
        <v>532</v>
      </c>
      <c r="H25" s="26">
        <v>4566</v>
      </c>
      <c r="I25" s="29">
        <v>5.19</v>
      </c>
      <c r="J25" s="28">
        <v>7.13</v>
      </c>
      <c r="K25" s="25">
        <v>23</v>
      </c>
      <c r="N25" s="25">
        <v>23</v>
      </c>
      <c r="O25" s="31"/>
      <c r="P25" s="31"/>
      <c r="Q25" s="31"/>
      <c r="R25" s="31"/>
      <c r="S25" s="31"/>
      <c r="T25" s="31"/>
    </row>
    <row r="26" spans="1:20" customFormat="1">
      <c r="A26" t="s">
        <v>34</v>
      </c>
      <c r="B26" s="25">
        <v>24</v>
      </c>
      <c r="C26" s="33">
        <v>1348.3183391046909</v>
      </c>
      <c r="D26" s="27">
        <v>63.2</v>
      </c>
      <c r="E26" s="28">
        <v>413</v>
      </c>
      <c r="F26" s="25">
        <v>24</v>
      </c>
      <c r="G26" s="26">
        <v>577.99307958663769</v>
      </c>
      <c r="H26" s="26">
        <v>5140.1522491515125</v>
      </c>
      <c r="I26" s="29"/>
      <c r="J26" s="28"/>
      <c r="K26" s="25">
        <v>24</v>
      </c>
      <c r="N26" s="25">
        <v>24</v>
      </c>
      <c r="O26" s="31"/>
      <c r="P26" s="31"/>
      <c r="Q26" s="31"/>
      <c r="R26" s="31"/>
      <c r="S26" s="31"/>
      <c r="T26" s="31"/>
    </row>
    <row r="27" spans="1:20" customFormat="1">
      <c r="B27" s="25">
        <v>25</v>
      </c>
      <c r="C27" s="26">
        <v>1535.33793103325</v>
      </c>
      <c r="D27" s="27">
        <v>63.2</v>
      </c>
      <c r="E27" s="28">
        <v>333</v>
      </c>
      <c r="F27" s="25">
        <v>25</v>
      </c>
      <c r="G27" s="26">
        <v>504.49655172373286</v>
      </c>
      <c r="H27" s="26">
        <v>6031.117241374468</v>
      </c>
      <c r="I27" s="29">
        <v>5.1100000000000003</v>
      </c>
      <c r="J27" s="28">
        <v>7.13</v>
      </c>
      <c r="K27" s="25">
        <v>25</v>
      </c>
      <c r="N27" s="25">
        <v>25</v>
      </c>
      <c r="O27" s="31"/>
      <c r="P27" s="31"/>
      <c r="Q27" s="31"/>
      <c r="R27" s="31"/>
      <c r="S27" s="31"/>
      <c r="T27" s="31"/>
    </row>
    <row r="28" spans="1:20" customFormat="1">
      <c r="B28" s="25">
        <v>26</v>
      </c>
      <c r="C28" s="26">
        <v>1536</v>
      </c>
      <c r="D28" s="27">
        <v>62</v>
      </c>
      <c r="E28" s="28">
        <v>367</v>
      </c>
      <c r="F28" s="25">
        <v>26</v>
      </c>
      <c r="G28" s="26">
        <v>530</v>
      </c>
      <c r="H28" s="26">
        <v>5710</v>
      </c>
      <c r="I28" s="29">
        <v>5.43</v>
      </c>
      <c r="J28" s="28">
        <v>7.05</v>
      </c>
      <c r="K28" s="25">
        <v>26</v>
      </c>
      <c r="N28" s="25">
        <v>26</v>
      </c>
      <c r="O28" s="31"/>
      <c r="P28" s="31"/>
      <c r="Q28" s="31"/>
      <c r="R28" s="31"/>
      <c r="S28" s="31"/>
      <c r="T28" s="31"/>
    </row>
    <row r="29" spans="1:20" customFormat="1">
      <c r="A29" t="s">
        <v>35</v>
      </c>
      <c r="B29" s="25">
        <v>27</v>
      </c>
      <c r="C29" s="26">
        <v>2178.4359861661897</v>
      </c>
      <c r="D29" s="27">
        <v>61.8</v>
      </c>
      <c r="E29" s="28">
        <v>400</v>
      </c>
      <c r="F29" s="25">
        <v>27</v>
      </c>
      <c r="G29" s="26">
        <v>589.95155709532673</v>
      </c>
      <c r="H29" s="26">
        <v>5443.1003460383017</v>
      </c>
      <c r="I29" s="29">
        <v>5.19</v>
      </c>
      <c r="J29" s="28">
        <v>7.03</v>
      </c>
      <c r="K29" s="25">
        <v>27</v>
      </c>
      <c r="N29" s="25">
        <v>27</v>
      </c>
      <c r="O29" s="31"/>
      <c r="P29" s="31"/>
      <c r="Q29" s="31"/>
      <c r="R29" s="31"/>
      <c r="S29" s="31"/>
      <c r="T29" s="31"/>
    </row>
    <row r="30" spans="1:20" customFormat="1">
      <c r="A30" t="s">
        <v>36</v>
      </c>
      <c r="B30" s="25">
        <v>28</v>
      </c>
      <c r="C30" s="26">
        <v>1749.0731707260315</v>
      </c>
      <c r="D30" s="27">
        <v>60.7</v>
      </c>
      <c r="E30" s="28">
        <v>263</v>
      </c>
      <c r="F30" s="25">
        <v>28</v>
      </c>
      <c r="G30" s="26">
        <v>437.51916376164644</v>
      </c>
      <c r="H30" s="26">
        <v>4815.7212543397736</v>
      </c>
      <c r="I30" s="29">
        <v>5.13</v>
      </c>
      <c r="J30" s="28">
        <v>6.99</v>
      </c>
      <c r="K30" s="25">
        <v>28</v>
      </c>
      <c r="N30" s="25">
        <v>28</v>
      </c>
      <c r="O30" s="31"/>
      <c r="P30" s="31"/>
      <c r="Q30" s="31"/>
      <c r="R30" s="31"/>
      <c r="S30" s="31"/>
      <c r="T30" s="31"/>
    </row>
    <row r="31" spans="1:20" customFormat="1">
      <c r="A31" t="s">
        <v>37</v>
      </c>
      <c r="B31" s="25">
        <v>29</v>
      </c>
      <c r="C31" s="26">
        <v>1784.2827442836081</v>
      </c>
      <c r="D31" s="27">
        <v>61.9</v>
      </c>
      <c r="E31" s="28">
        <v>196</v>
      </c>
      <c r="F31" s="25">
        <v>29</v>
      </c>
      <c r="G31" s="26">
        <v>540.87318087344272</v>
      </c>
      <c r="H31" s="26">
        <v>5414.7193347219554</v>
      </c>
      <c r="I31" s="29">
        <v>5.35</v>
      </c>
      <c r="J31" s="28">
        <v>7.12</v>
      </c>
      <c r="K31" s="25">
        <v>29</v>
      </c>
      <c r="M31" s="30">
        <f>AVERAGE(0.82,0.85,0.84)</f>
        <v>0.83666666666666656</v>
      </c>
      <c r="N31" s="25">
        <v>29</v>
      </c>
      <c r="O31" s="31">
        <f>AVERAGE(2675,2625,2750)</f>
        <v>2683.3333333333335</v>
      </c>
      <c r="P31" s="31"/>
      <c r="Q31" s="31">
        <f>AVERAGE(1975,1900,2000)</f>
        <v>1958.3333333333333</v>
      </c>
      <c r="R31" s="31">
        <f>AVERAGE(5600,5700,5650)</f>
        <v>5650</v>
      </c>
      <c r="S31" s="31">
        <f>AVERAGE(2850,2850,2850)</f>
        <v>2850</v>
      </c>
      <c r="T31" s="31">
        <f>AVERAGE(2350,2425,2400)</f>
        <v>2391.6666666666665</v>
      </c>
    </row>
    <row r="32" spans="1:20" customFormat="1">
      <c r="A32" t="s">
        <v>38</v>
      </c>
      <c r="B32" s="25">
        <v>30</v>
      </c>
      <c r="C32" s="26">
        <v>588.49545136641245</v>
      </c>
      <c r="F32" s="25">
        <v>30</v>
      </c>
      <c r="G32" s="26">
        <v>544.15675297579241</v>
      </c>
      <c r="H32" s="26">
        <v>1960.9797060942442</v>
      </c>
      <c r="I32" s="29"/>
      <c r="J32" s="28"/>
      <c r="K32" s="25">
        <v>30</v>
      </c>
      <c r="N32" s="25">
        <v>30</v>
      </c>
      <c r="O32" s="31" t="s">
        <v>29</v>
      </c>
      <c r="P32" s="31"/>
      <c r="Q32" s="31" t="s">
        <v>29</v>
      </c>
      <c r="R32" s="31" t="s">
        <v>29</v>
      </c>
      <c r="S32" s="31" t="s">
        <v>29</v>
      </c>
      <c r="T32" s="31" t="s">
        <v>29</v>
      </c>
    </row>
    <row r="33" spans="2:21">
      <c r="B33" s="25">
        <v>31</v>
      </c>
      <c r="C33" s="26">
        <v>1756.4265129573985</v>
      </c>
      <c r="D33"/>
      <c r="E33"/>
      <c r="F33" s="25">
        <v>31</v>
      </c>
      <c r="G33" s="26">
        <v>531.18155619266861</v>
      </c>
      <c r="H33" s="26">
        <v>5313.8904898805631</v>
      </c>
      <c r="I33" s="29"/>
      <c r="J33" s="28"/>
      <c r="K33" s="25">
        <v>31</v>
      </c>
      <c r="L33"/>
      <c r="M33"/>
      <c r="N33" s="25">
        <v>31</v>
      </c>
    </row>
    <row r="34" spans="2:21">
      <c r="C34"/>
      <c r="D34"/>
      <c r="E34"/>
      <c r="F34"/>
      <c r="G34"/>
      <c r="H34"/>
      <c r="I34"/>
      <c r="J34"/>
      <c r="K34"/>
      <c r="L34"/>
      <c r="M34"/>
      <c r="O34"/>
      <c r="P34"/>
      <c r="Q34"/>
      <c r="R34"/>
      <c r="S34"/>
      <c r="T34"/>
      <c r="U34"/>
    </row>
    <row r="35" spans="2:21" s="34" customFormat="1">
      <c r="B35" s="34" t="s">
        <v>39</v>
      </c>
      <c r="C35" s="35">
        <f>AVERAGE(C3:C34)</f>
        <v>1802.0800077055242</v>
      </c>
      <c r="D35" s="36">
        <f>AVERAGE(D3:D34)</f>
        <v>60.995652173913058</v>
      </c>
      <c r="E35" s="36">
        <f>AVERAGE(E3:E34)</f>
        <v>317.83999999999997</v>
      </c>
      <c r="F35" s="34" t="s">
        <v>39</v>
      </c>
      <c r="G35" s="37">
        <f>AVERAGE(G3:G34)</f>
        <v>594.69178589035687</v>
      </c>
      <c r="H35" s="37">
        <f>AVERAGE(H3:H34)</f>
        <v>4888.1365095691481</v>
      </c>
      <c r="I35" s="38">
        <f>AVERAGE(I3:I34)</f>
        <v>5.1589473684210514</v>
      </c>
      <c r="J35" s="38">
        <f>AVERAGE(J3:J34)</f>
        <v>7.1631578947368419</v>
      </c>
      <c r="K35" s="39"/>
      <c r="M35" s="40">
        <f>AVERAGE(M3:M34)</f>
        <v>0.59550000000000003</v>
      </c>
      <c r="N35" s="34" t="s">
        <v>39</v>
      </c>
      <c r="O35" s="35">
        <f>AVERAGE(O3:O34)</f>
        <v>2473.666666666667</v>
      </c>
      <c r="P35" s="35" t="s">
        <v>29</v>
      </c>
      <c r="Q35" s="35">
        <f>AVERAGE(Q3:Q34)</f>
        <v>1683.0666666666668</v>
      </c>
      <c r="R35" s="35">
        <f>AVERAGE(R3:R34)</f>
        <v>6047.0166666666664</v>
      </c>
      <c r="S35" s="35">
        <f>AVERAGE(S3:S34)</f>
        <v>3608.166666666667</v>
      </c>
      <c r="T35" s="35">
        <f>AVERAGE(T3:T34)</f>
        <v>2080.1999999999998</v>
      </c>
      <c r="U35" s="35"/>
    </row>
    <row r="36" spans="2:21" s="34" customFormat="1">
      <c r="B36" s="34" t="s">
        <v>40</v>
      </c>
      <c r="C36" s="35">
        <f>STDEV(C3:C34)</f>
        <v>587.26117140494489</v>
      </c>
      <c r="D36" s="36">
        <f>STDEV(D3:D34)</f>
        <v>1.0856411012809499</v>
      </c>
      <c r="E36" s="36">
        <f>STDEV(E3:E34)</f>
        <v>75.862089785786026</v>
      </c>
      <c r="F36" s="34" t="s">
        <v>40</v>
      </c>
      <c r="G36" s="37">
        <f>STDEV(G3:G34)</f>
        <v>138.99492910225788</v>
      </c>
      <c r="H36" s="37">
        <f>STDEV(H3:H34)</f>
        <v>1226.8537393261959</v>
      </c>
      <c r="I36" s="38">
        <f>STDEV(I3:I34)</f>
        <v>0.12183297933565101</v>
      </c>
      <c r="J36" s="38">
        <f>STDEV(J3:J34)</f>
        <v>8.1175573199149809E-2</v>
      </c>
      <c r="K36" s="39"/>
      <c r="M36" s="40">
        <f>STDEV(M3:M34)</f>
        <v>0.16226649890432276</v>
      </c>
      <c r="N36" s="34" t="s">
        <v>40</v>
      </c>
      <c r="O36" s="35">
        <f>STDEV(O3:O34)</f>
        <v>345.20806930185017</v>
      </c>
      <c r="P36" s="35" t="s">
        <v>29</v>
      </c>
      <c r="Q36" s="35">
        <f>STDEV(Q3:Q34)</f>
        <v>376.92516203853631</v>
      </c>
      <c r="R36" s="35">
        <f>STDEV(R3:R34)</f>
        <v>235.78559882043504</v>
      </c>
      <c r="S36" s="35">
        <f>STDEV(S3:S34)</f>
        <v>510.80016205513323</v>
      </c>
      <c r="T36" s="35">
        <f>STDEV(T3:T34)</f>
        <v>267.03969742343588</v>
      </c>
      <c r="U36" s="35"/>
    </row>
  </sheetData>
  <conditionalFormatting sqref="I3:I33">
    <cfRule type="cellIs" dxfId="5" priority="1" operator="equal">
      <formula>0</formula>
    </cfRule>
    <cfRule type="cellIs" dxfId="4" priority="2" operator="lessThan">
      <formula>5</formula>
    </cfRule>
    <cfRule type="cellIs" dxfId="3" priority="3" operator="greaterThan">
      <formula>7.2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Richmond-Hall</dc:creator>
  <cp:lastModifiedBy>Joan Richmond-Hall</cp:lastModifiedBy>
  <dcterms:created xsi:type="dcterms:W3CDTF">2015-11-02T20:46:41Z</dcterms:created>
  <dcterms:modified xsi:type="dcterms:W3CDTF">2015-11-02T20:47:15Z</dcterms:modified>
</cp:coreProperties>
</file>